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49768B6-2C6A-452A-A4F6-C5E53A47A9D1}" xr6:coauthVersionLast="45" xr6:coauthVersionMax="45" xr10:uidLastSave="{00000000-0000-0000-0000-000000000000}"/>
  <bookViews>
    <workbookView xWindow="-120" yWindow="-120" windowWidth="20730" windowHeight="11160" activeTab="5" xr2:uid="{00000000-000D-0000-FFFF-FFFF00000000}"/>
  </bookViews>
  <sheets>
    <sheet name="Sheet1" sheetId="1" r:id="rId1"/>
    <sheet name="Tobin's Q" sheetId="2" r:id="rId2"/>
    <sheet name="DPR" sheetId="3" r:id="rId3"/>
    <sheet name="Sheet2" sheetId="4" r:id="rId4"/>
    <sheet name="Sheet3" sheetId="5" r:id="rId5"/>
    <sheet name="Sheet4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2" l="1"/>
  <c r="L4" i="2"/>
  <c r="L5" i="2"/>
  <c r="L6" i="2"/>
  <c r="L7" i="2"/>
  <c r="L8" i="2"/>
  <c r="I57" i="2"/>
  <c r="I50" i="2"/>
  <c r="I43" i="2"/>
  <c r="I36" i="2"/>
  <c r="I29" i="2"/>
  <c r="I22" i="2"/>
  <c r="I15" i="2"/>
  <c r="I8" i="2"/>
  <c r="I3" i="2" l="1"/>
  <c r="I4" i="2"/>
  <c r="I5" i="2"/>
  <c r="I6" i="2"/>
  <c r="I7" i="2"/>
  <c r="I9" i="2"/>
  <c r="I10" i="2"/>
  <c r="I11" i="2"/>
  <c r="I12" i="2"/>
  <c r="I13" i="2"/>
  <c r="I14" i="2"/>
  <c r="I16" i="2"/>
  <c r="I17" i="2"/>
  <c r="I18" i="2"/>
  <c r="I19" i="2"/>
  <c r="I20" i="2"/>
  <c r="I21" i="2"/>
  <c r="I23" i="2"/>
  <c r="I24" i="2"/>
  <c r="I25" i="2"/>
  <c r="I26" i="2"/>
  <c r="I27" i="2"/>
  <c r="I28" i="2"/>
  <c r="I30" i="2"/>
  <c r="I31" i="2"/>
  <c r="I32" i="2"/>
  <c r="I33" i="2"/>
  <c r="I34" i="2"/>
  <c r="I35" i="2"/>
  <c r="I37" i="2"/>
  <c r="I38" i="2"/>
  <c r="I39" i="2"/>
  <c r="I40" i="2"/>
  <c r="I41" i="2"/>
  <c r="I42" i="2"/>
  <c r="I44" i="2"/>
  <c r="I45" i="2"/>
  <c r="I46" i="2"/>
  <c r="I47" i="2"/>
  <c r="I48" i="2"/>
  <c r="I49" i="2"/>
  <c r="I51" i="2"/>
  <c r="I52" i="2"/>
  <c r="I53" i="2"/>
  <c r="I54" i="2"/>
  <c r="I55" i="2"/>
  <c r="I56" i="2"/>
  <c r="I2" i="2"/>
  <c r="J10" i="3"/>
  <c r="H5" i="3"/>
  <c r="H6" i="3"/>
  <c r="H7" i="3"/>
  <c r="H8" i="3"/>
  <c r="H9" i="3"/>
  <c r="H10" i="3"/>
  <c r="H11" i="3"/>
  <c r="H4" i="3"/>
  <c r="B11" i="3"/>
  <c r="B10" i="3"/>
  <c r="B9" i="3"/>
  <c r="B8" i="3"/>
  <c r="B7" i="3"/>
  <c r="B6" i="3"/>
  <c r="B5" i="3"/>
  <c r="C11" i="3"/>
  <c r="C10" i="3"/>
  <c r="C9" i="3"/>
  <c r="C8" i="3"/>
  <c r="C7" i="3"/>
  <c r="C6" i="3"/>
  <c r="C5" i="3"/>
  <c r="D11" i="3"/>
  <c r="D10" i="3"/>
  <c r="D9" i="3"/>
  <c r="D8" i="3"/>
  <c r="D7" i="3"/>
  <c r="D6" i="3"/>
  <c r="D5" i="3"/>
  <c r="E11" i="3"/>
  <c r="E10" i="3"/>
  <c r="E9" i="3"/>
  <c r="E8" i="3"/>
  <c r="E7" i="3"/>
  <c r="E6" i="3"/>
  <c r="E5" i="3"/>
  <c r="F11" i="3"/>
  <c r="F10" i="3"/>
  <c r="F9" i="3"/>
  <c r="F8" i="3"/>
  <c r="F7" i="3"/>
  <c r="F6" i="3"/>
  <c r="F5" i="3"/>
  <c r="G11" i="3"/>
  <c r="G10" i="3"/>
  <c r="G9" i="3"/>
  <c r="G8" i="3"/>
  <c r="G7" i="3"/>
  <c r="G6" i="3"/>
  <c r="G5" i="3"/>
  <c r="G4" i="3"/>
  <c r="F4" i="3"/>
  <c r="E4" i="3"/>
  <c r="D4" i="3"/>
  <c r="C4" i="3"/>
  <c r="B4" i="3"/>
  <c r="E4" i="4" l="1"/>
  <c r="E5" i="4"/>
  <c r="E6" i="4"/>
  <c r="E7" i="4"/>
  <c r="E8" i="4"/>
  <c r="E10" i="4"/>
  <c r="E11" i="4"/>
  <c r="E12" i="4"/>
  <c r="E13" i="4"/>
  <c r="E14" i="4"/>
  <c r="E15" i="4"/>
  <c r="E17" i="4"/>
  <c r="E18" i="4"/>
  <c r="E19" i="4"/>
  <c r="E20" i="4"/>
  <c r="E21" i="4"/>
  <c r="E22" i="4"/>
  <c r="E24" i="4"/>
  <c r="E25" i="4"/>
  <c r="E26" i="4"/>
  <c r="E27" i="4"/>
  <c r="E28" i="4"/>
  <c r="E29" i="4"/>
  <c r="E31" i="4"/>
  <c r="E32" i="4"/>
  <c r="E33" i="4"/>
  <c r="E34" i="4"/>
  <c r="E35" i="4"/>
  <c r="E36" i="4"/>
  <c r="E38" i="4"/>
  <c r="E39" i="4"/>
  <c r="E40" i="4"/>
  <c r="E41" i="4"/>
  <c r="E42" i="4"/>
  <c r="E43" i="4"/>
  <c r="E45" i="4"/>
  <c r="E46" i="4"/>
  <c r="E47" i="4"/>
  <c r="E48" i="4"/>
  <c r="E49" i="4"/>
  <c r="E50" i="4"/>
  <c r="E52" i="4"/>
  <c r="E53" i="4"/>
  <c r="E54" i="4"/>
  <c r="E55" i="4"/>
  <c r="E56" i="4"/>
  <c r="E57" i="4"/>
  <c r="E3" i="4"/>
  <c r="H31" i="2" l="1"/>
  <c r="H32" i="2"/>
  <c r="H33" i="2"/>
  <c r="H34" i="2"/>
  <c r="H35" i="2"/>
  <c r="L3" i="2" l="1"/>
  <c r="H52" i="2"/>
  <c r="H53" i="2"/>
  <c r="H54" i="2"/>
  <c r="H55" i="2"/>
  <c r="H56" i="2"/>
  <c r="H51" i="2"/>
  <c r="G52" i="2"/>
  <c r="G53" i="2"/>
  <c r="G54" i="2"/>
  <c r="G55" i="2"/>
  <c r="G56" i="2"/>
  <c r="G51" i="2"/>
  <c r="H45" i="2" l="1"/>
  <c r="H46" i="2"/>
  <c r="H47" i="2"/>
  <c r="H48" i="2"/>
  <c r="H49" i="2"/>
  <c r="H44" i="2"/>
  <c r="G45" i="2"/>
  <c r="G46" i="2"/>
  <c r="G47" i="2"/>
  <c r="G48" i="2"/>
  <c r="G49" i="2"/>
  <c r="G44" i="2"/>
  <c r="H38" i="2"/>
  <c r="H39" i="2"/>
  <c r="H40" i="2"/>
  <c r="H41" i="2"/>
  <c r="H42" i="2"/>
  <c r="H37" i="2"/>
  <c r="G38" i="2"/>
  <c r="G39" i="2"/>
  <c r="G40" i="2"/>
  <c r="G41" i="2"/>
  <c r="G42" i="2"/>
  <c r="G37" i="2"/>
  <c r="H30" i="2"/>
  <c r="G31" i="2"/>
  <c r="G32" i="2"/>
  <c r="G33" i="2"/>
  <c r="G34" i="2"/>
  <c r="G35" i="2"/>
  <c r="G30" i="2"/>
  <c r="H24" i="2"/>
  <c r="H25" i="2"/>
  <c r="H26" i="2"/>
  <c r="H27" i="2"/>
  <c r="H28" i="2"/>
  <c r="H23" i="2"/>
  <c r="G24" i="2"/>
  <c r="G25" i="2"/>
  <c r="G26" i="2"/>
  <c r="G27" i="2"/>
  <c r="G28" i="2"/>
  <c r="G23" i="2"/>
  <c r="H17" i="2"/>
  <c r="H18" i="2"/>
  <c r="H19" i="2"/>
  <c r="H20" i="2"/>
  <c r="H21" i="2"/>
  <c r="H16" i="2"/>
  <c r="G17" i="2"/>
  <c r="G18" i="2"/>
  <c r="G19" i="2"/>
  <c r="G20" i="2"/>
  <c r="G21" i="2"/>
  <c r="G16" i="2"/>
  <c r="H10" i="2"/>
  <c r="H11" i="2"/>
  <c r="H12" i="2"/>
  <c r="H13" i="2"/>
  <c r="H14" i="2"/>
  <c r="H9" i="2"/>
  <c r="G10" i="2"/>
  <c r="G11" i="2"/>
  <c r="G12" i="2"/>
  <c r="G13" i="2"/>
  <c r="G14" i="2"/>
  <c r="G9" i="2"/>
  <c r="G3" i="2"/>
  <c r="G4" i="2"/>
  <c r="G5" i="2"/>
  <c r="G6" i="2"/>
  <c r="G7" i="2"/>
  <c r="H3" i="2"/>
  <c r="H4" i="2"/>
  <c r="H5" i="2"/>
  <c r="H6" i="2"/>
  <c r="H7" i="2"/>
  <c r="H2" i="2"/>
  <c r="J9" i="3"/>
  <c r="J8" i="3"/>
  <c r="J7" i="3"/>
  <c r="J6" i="3"/>
  <c r="J5" i="3"/>
  <c r="J4" i="3"/>
  <c r="G2" i="2"/>
  <c r="I74" i="2" l="1"/>
  <c r="I75" i="2"/>
  <c r="I76" i="2"/>
  <c r="I77" i="2"/>
  <c r="I78" i="2"/>
  <c r="G110" i="2"/>
  <c r="H110" i="2" s="1"/>
  <c r="I110" i="2" s="1"/>
  <c r="G111" i="2"/>
  <c r="H111" i="2" s="1"/>
  <c r="I111" i="2" s="1"/>
  <c r="G112" i="2"/>
  <c r="H112" i="2" s="1"/>
  <c r="I112" i="2" s="1"/>
  <c r="G113" i="2"/>
  <c r="H113" i="2" s="1"/>
  <c r="I113" i="2" s="1"/>
  <c r="G114" i="2"/>
  <c r="H114" i="2" s="1"/>
  <c r="I114" i="2" s="1"/>
  <c r="C23" i="1" l="1"/>
  <c r="D23" i="1"/>
  <c r="E23" i="1"/>
  <c r="F23" i="1"/>
  <c r="G23" i="1"/>
  <c r="B23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3" i="1"/>
</calcChain>
</file>

<file path=xl/sharedStrings.xml><?xml version="1.0" encoding="utf-8"?>
<sst xmlns="http://schemas.openxmlformats.org/spreadsheetml/2006/main" count="98" uniqueCount="41">
  <si>
    <t>Kode Saham</t>
  </si>
  <si>
    <t>ADHI</t>
  </si>
  <si>
    <t>ANTM</t>
  </si>
  <si>
    <t>BBNI</t>
  </si>
  <si>
    <t>BBRI</t>
  </si>
  <si>
    <t>BBTN</t>
  </si>
  <si>
    <t>BMRI</t>
  </si>
  <si>
    <t>GIAA</t>
  </si>
  <si>
    <t>INAF</t>
  </si>
  <si>
    <t>JSMR</t>
  </si>
  <si>
    <t>KAEF</t>
  </si>
  <si>
    <t>KRAS</t>
  </si>
  <si>
    <t>PGAS</t>
  </si>
  <si>
    <t>PTBA</t>
  </si>
  <si>
    <t>PTPP</t>
  </si>
  <si>
    <t>SMBR</t>
  </si>
  <si>
    <t>SMGR</t>
  </si>
  <si>
    <t>TINS</t>
  </si>
  <si>
    <t>TLKM</t>
  </si>
  <si>
    <t>WIKA</t>
  </si>
  <si>
    <t>WSKT</t>
  </si>
  <si>
    <t>Closing Price Share</t>
  </si>
  <si>
    <t>Jumlah Lembar Saham</t>
  </si>
  <si>
    <t>Tahun</t>
  </si>
  <si>
    <t>Tobin's  Q</t>
  </si>
  <si>
    <t>Rata - Rata Harga Saham BUMN Tahun 2013 - 2018</t>
  </si>
  <si>
    <t>Rata - Rata</t>
  </si>
  <si>
    <t>Rata-Rata Rasio DPR Perusahaan BUMN Tahun 2013-2017</t>
  </si>
  <si>
    <t>Rata-Rata Tobin's Q</t>
  </si>
  <si>
    <t>Rata-Rata DPR</t>
  </si>
  <si>
    <t>Total Liabilitas (D)</t>
  </si>
  <si>
    <t>Total Asset</t>
  </si>
  <si>
    <t>Total Nilai Pasar</t>
  </si>
  <si>
    <t>Total Pengganti Asset</t>
  </si>
  <si>
    <t>Dividen Per Lembar Saham</t>
  </si>
  <si>
    <t>Laba Bersih Per Lembar Saham</t>
  </si>
  <si>
    <t>DPR</t>
  </si>
  <si>
    <t>Dividend Payout Ratio</t>
  </si>
  <si>
    <t>Rata-Rata</t>
  </si>
  <si>
    <t xml:space="preserve">Tahun </t>
  </si>
  <si>
    <t>Tobin’s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</si>
</sst>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Sheet1!$J$6:$J$11</c:f>
              <c:numCache>
                <c:formatCode>0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xVal>
          <c:yVal>
            <c:numRef>
              <c:f>Sheet1!$K$6:$K$11</c:f>
              <c:numCache>
                <c:formatCode>#,##0</c:formatCode>
                <c:ptCount val="6"/>
                <c:pt idx="0">
                  <c:v>3245</c:v>
                </c:pt>
                <c:pt idx="1">
                  <c:v>4503</c:v>
                </c:pt>
                <c:pt idx="2">
                  <c:v>2474</c:v>
                </c:pt>
                <c:pt idx="3">
                  <c:v>3108</c:v>
                </c:pt>
                <c:pt idx="4">
                  <c:v>3643</c:v>
                </c:pt>
                <c:pt idx="5">
                  <c:v>3597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46-4209-ABFF-2908CAF21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43712"/>
        <c:axId val="454519840"/>
      </c:scatterChart>
      <c:valAx>
        <c:axId val="52604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54519840"/>
        <c:crosses val="autoZero"/>
        <c:crossBetween val="midCat"/>
      </c:valAx>
      <c:valAx>
        <c:axId val="45451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26043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'Tobin''s Q'!$L$2</c:f>
              <c:strCache>
                <c:ptCount val="1"/>
                <c:pt idx="0">
                  <c:v>Rata-Rata Tobin's Q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'Tobin''s Q'!$K$3:$K$8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'Tobin''s Q'!$L$3:$L$8</c:f>
              <c:numCache>
                <c:formatCode>0.00</c:formatCode>
                <c:ptCount val="6"/>
                <c:pt idx="0">
                  <c:v>0.87738765236071681</c:v>
                </c:pt>
                <c:pt idx="1">
                  <c:v>0.97246233030842189</c:v>
                </c:pt>
                <c:pt idx="2">
                  <c:v>0.6275533328330738</c:v>
                </c:pt>
                <c:pt idx="3">
                  <c:v>0.61212877967578572</c:v>
                </c:pt>
                <c:pt idx="4">
                  <c:v>0.67477144891329877</c:v>
                </c:pt>
                <c:pt idx="5">
                  <c:v>0.71041483674299433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C-49CE-B6BB-70F289F429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1131839"/>
        <c:axId val="85066815"/>
      </c:lineChart>
      <c:catAx>
        <c:axId val="12113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5066815"/>
        <c:crosses val="autoZero"/>
        <c:auto val="1"/>
        <c:lblAlgn val="ctr"/>
        <c:lblOffset val="100"/>
        <c:noMultiLvlLbl val="0"/>
      </c:catAx>
      <c:valAx>
        <c:axId val="8506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1131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DPR!$J$3</c:f>
              <c:strCache>
                <c:ptCount val="1"/>
                <c:pt idx="0">
                  <c:v>Rata-Rata DPR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DPR!$I$4:$I$9</c:f>
              <c:numCache>
                <c:formatCode>General</c:formatCode>
                <c:ptCount val="6"/>
                <c:pt idx="0" formatCode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 formatCode="0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DPR!$J$4:$J$9</c:f>
              <c:numCache>
                <c:formatCode>0.00</c:formatCode>
                <c:ptCount val="6"/>
                <c:pt idx="0">
                  <c:v>0.35851249999999996</c:v>
                </c:pt>
                <c:pt idx="1">
                  <c:v>0.27710000000000001</c:v>
                </c:pt>
                <c:pt idx="2">
                  <c:v>0.26432500000000003</c:v>
                </c:pt>
                <c:pt idx="3">
                  <c:v>0.33926249999999997</c:v>
                </c:pt>
                <c:pt idx="4">
                  <c:v>0.37195</c:v>
                </c:pt>
                <c:pt idx="5" formatCode="General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1-46D2-AC04-46E8FE191E4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547183"/>
        <c:axId val="2114802943"/>
      </c:lineChart>
      <c:catAx>
        <c:axId val="735471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14802943"/>
        <c:crosses val="autoZero"/>
        <c:auto val="1"/>
        <c:lblAlgn val="ctr"/>
        <c:lblOffset val="100"/>
        <c:noMultiLvlLbl val="0"/>
      </c:catAx>
      <c:valAx>
        <c:axId val="2114802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3547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Sheet3!$B$2:$B$4</c:f>
              <c:strCache>
                <c:ptCount val="3"/>
                <c:pt idx="0">
                  <c:v>Dividend Payout Ratio</c:v>
                </c:pt>
                <c:pt idx="1">
                  <c:v>Tahun </c:v>
                </c:pt>
                <c:pt idx="2">
                  <c:v>2013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Sheet3!$A$5:$A$13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Sheet3!$B$5:$B$13</c:f>
              <c:numCache>
                <c:formatCode>General</c:formatCode>
                <c:ptCount val="9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0.52</c:v>
                </c:pt>
                <c:pt idx="5">
                  <c:v>0.55000000000000004</c:v>
                </c:pt>
                <c:pt idx="6">
                  <c:v>0.3</c:v>
                </c:pt>
                <c:pt idx="7">
                  <c:v>0.3</c:v>
                </c:pt>
                <c:pt idx="8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D-4169-AFDF-822EBE67A328}"/>
            </c:ext>
          </c:extLst>
        </c:ser>
        <c:ser>
          <c:idx val="1"/>
          <c:order val="1"/>
          <c:tx>
            <c:strRef>
              <c:f>Sheet3!$C$2:$C$4</c:f>
              <c:strCache>
                <c:ptCount val="3"/>
                <c:pt idx="0">
                  <c:v>Dividend Payout Ratio</c:v>
                </c:pt>
                <c:pt idx="1">
                  <c:v>Tahun </c:v>
                </c:pt>
                <c:pt idx="2">
                  <c:v>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Sheet3!$A$5:$A$13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Sheet3!$C$5:$C$13</c:f>
              <c:numCache>
                <c:formatCode>General</c:formatCode>
                <c:ptCount val="9"/>
                <c:pt idx="0">
                  <c:v>0.25</c:v>
                </c:pt>
                <c:pt idx="1">
                  <c:v>0.3</c:v>
                </c:pt>
                <c:pt idx="2">
                  <c:v>0.19</c:v>
                </c:pt>
                <c:pt idx="3">
                  <c:v>0.25</c:v>
                </c:pt>
                <c:pt idx="4">
                  <c:v>0.41</c:v>
                </c:pt>
                <c:pt idx="5">
                  <c:v>0.35</c:v>
                </c:pt>
                <c:pt idx="6">
                  <c:v>0.16</c:v>
                </c:pt>
                <c:pt idx="7">
                  <c:v>0.3</c:v>
                </c:pt>
                <c:pt idx="8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D-4169-AFDF-822EBE67A328}"/>
            </c:ext>
          </c:extLst>
        </c:ser>
        <c:ser>
          <c:idx val="2"/>
          <c:order val="2"/>
          <c:tx>
            <c:strRef>
              <c:f>Sheet3!$D$2:$D$4</c:f>
              <c:strCache>
                <c:ptCount val="3"/>
                <c:pt idx="0">
                  <c:v>Dividend Payout Ratio</c:v>
                </c:pt>
                <c:pt idx="1">
                  <c:v>Tahun </c:v>
                </c:pt>
                <c:pt idx="2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Sheet3!$A$5:$A$13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Sheet3!$D$5:$D$13</c:f>
              <c:numCache>
                <c:formatCode>General</c:formatCode>
                <c:ptCount val="9"/>
                <c:pt idx="0">
                  <c:v>0.25</c:v>
                </c:pt>
                <c:pt idx="1">
                  <c:v>0.3</c:v>
                </c:pt>
                <c:pt idx="2">
                  <c:v>0.2</c:v>
                </c:pt>
                <c:pt idx="3">
                  <c:v>0.3</c:v>
                </c:pt>
                <c:pt idx="4">
                  <c:v>0.41</c:v>
                </c:pt>
                <c:pt idx="5">
                  <c:v>0.3</c:v>
                </c:pt>
                <c:pt idx="6">
                  <c:v>0.18</c:v>
                </c:pt>
                <c:pt idx="7">
                  <c:v>0.17</c:v>
                </c:pt>
                <c:pt idx="8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D-4169-AFDF-822EBE67A328}"/>
            </c:ext>
          </c:extLst>
        </c:ser>
        <c:ser>
          <c:idx val="3"/>
          <c:order val="3"/>
          <c:tx>
            <c:strRef>
              <c:f>Sheet3!$E$2:$E$4</c:f>
              <c:strCache>
                <c:ptCount val="3"/>
                <c:pt idx="0">
                  <c:v>Dividend Payout Ratio</c:v>
                </c:pt>
                <c:pt idx="1">
                  <c:v>Tahun </c:v>
                </c:pt>
                <c:pt idx="2">
                  <c:v>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Sheet3!$A$5:$A$13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Sheet3!$E$5:$E$13</c:f>
              <c:numCache>
                <c:formatCode>General</c:formatCode>
                <c:ptCount val="9"/>
                <c:pt idx="0">
                  <c:v>0.35</c:v>
                </c:pt>
                <c:pt idx="1">
                  <c:v>0.4</c:v>
                </c:pt>
                <c:pt idx="2">
                  <c:v>0.2</c:v>
                </c:pt>
                <c:pt idx="3">
                  <c:v>0.45</c:v>
                </c:pt>
                <c:pt idx="4">
                  <c:v>0.45</c:v>
                </c:pt>
                <c:pt idx="5">
                  <c:v>0.3</c:v>
                </c:pt>
                <c:pt idx="6">
                  <c:v>0.26</c:v>
                </c:pt>
                <c:pt idx="7">
                  <c:v>0.3</c:v>
                </c:pt>
                <c:pt idx="8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5D-4169-AFDF-822EBE67A328}"/>
            </c:ext>
          </c:extLst>
        </c:ser>
        <c:ser>
          <c:idx val="4"/>
          <c:order val="4"/>
          <c:tx>
            <c:strRef>
              <c:f>Sheet3!$F$2:$F$4</c:f>
              <c:strCache>
                <c:ptCount val="3"/>
                <c:pt idx="0">
                  <c:v>Dividend Payout Ratio</c:v>
                </c:pt>
                <c:pt idx="1">
                  <c:v>Tahun </c:v>
                </c:pt>
                <c:pt idx="2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Sheet3!$A$5:$A$13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Sheet3!$F$5:$F$13</c:f>
              <c:numCache>
                <c:formatCode>General</c:formatCode>
                <c:ptCount val="9"/>
                <c:pt idx="0">
                  <c:v>0.35</c:v>
                </c:pt>
                <c:pt idx="1">
                  <c:v>0.45</c:v>
                </c:pt>
                <c:pt idx="2">
                  <c:v>0.2</c:v>
                </c:pt>
                <c:pt idx="3">
                  <c:v>0.45</c:v>
                </c:pt>
                <c:pt idx="4">
                  <c:v>0.39</c:v>
                </c:pt>
                <c:pt idx="5">
                  <c:v>0.75</c:v>
                </c:pt>
                <c:pt idx="6">
                  <c:v>0.18</c:v>
                </c:pt>
                <c:pt idx="7">
                  <c:v>0.2</c:v>
                </c:pt>
                <c:pt idx="8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5D-4169-AFDF-822EBE67A328}"/>
            </c:ext>
          </c:extLst>
        </c:ser>
        <c:ser>
          <c:idx val="5"/>
          <c:order val="5"/>
          <c:tx>
            <c:strRef>
              <c:f>Sheet3!$G$2:$G$4</c:f>
              <c:strCache>
                <c:ptCount val="3"/>
                <c:pt idx="0">
                  <c:v>Dividend Payout Ratio</c:v>
                </c:pt>
                <c:pt idx="1">
                  <c:v>Tahun </c:v>
                </c:pt>
                <c:pt idx="2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Sheet3!$A$5:$A$13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Sheet3!$G$5:$G$13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0.2</c:v>
                </c:pt>
                <c:pt idx="3">
                  <c:v>0.45</c:v>
                </c:pt>
                <c:pt idx="4">
                  <c:v>0.2</c:v>
                </c:pt>
                <c:pt idx="5">
                  <c:v>0.75</c:v>
                </c:pt>
                <c:pt idx="6">
                  <c:v>0.2</c:v>
                </c:pt>
                <c:pt idx="7">
                  <c:v>0.25</c:v>
                </c:pt>
                <c:pt idx="8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5D-4169-AFDF-822EBE67A328}"/>
            </c:ext>
          </c:extLst>
        </c:ser>
        <c:ser>
          <c:idx val="6"/>
          <c:order val="6"/>
          <c:tx>
            <c:strRef>
              <c:f>Sheet3!$H$2:$H$4</c:f>
              <c:strCache>
                <c:ptCount val="3"/>
                <c:pt idx="0">
                  <c:v>Rata-Rata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Sheet3!$A$5:$A$13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Sheet3!$H$5:$H$13</c:f>
              <c:numCache>
                <c:formatCode>General</c:formatCode>
                <c:ptCount val="9"/>
                <c:pt idx="0">
                  <c:v>0.28999999999999998</c:v>
                </c:pt>
                <c:pt idx="1">
                  <c:v>0.38</c:v>
                </c:pt>
                <c:pt idx="2">
                  <c:v>0.22</c:v>
                </c:pt>
                <c:pt idx="3">
                  <c:v>0.37</c:v>
                </c:pt>
                <c:pt idx="4">
                  <c:v>0.4</c:v>
                </c:pt>
                <c:pt idx="5">
                  <c:v>0.5</c:v>
                </c:pt>
                <c:pt idx="6">
                  <c:v>0.21</c:v>
                </c:pt>
                <c:pt idx="7">
                  <c:v>0.25</c:v>
                </c:pt>
                <c:pt idx="8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5D-4169-AFDF-822EBE67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314367"/>
        <c:axId val="783355663"/>
      </c:lineChart>
      <c:catAx>
        <c:axId val="8673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83355663"/>
        <c:crosses val="autoZero"/>
        <c:auto val="1"/>
        <c:lblAlgn val="ctr"/>
        <c:lblOffset val="100"/>
        <c:noMultiLvlLbl val="0"/>
      </c:catAx>
      <c:valAx>
        <c:axId val="78335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6731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Sheet4!$B$2:$B$4</c:f>
              <c:strCache>
                <c:ptCount val="3"/>
                <c:pt idx="0">
                  <c:v>Tobin’s Q</c:v>
                </c:pt>
                <c:pt idx="1">
                  <c:v>Tahun </c:v>
                </c:pt>
                <c:pt idx="2">
                  <c:v>2013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Sheet4!$A$5:$A$13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Sheet4!$B$5:$B$13</c:f>
              <c:numCache>
                <c:formatCode>General</c:formatCode>
                <c:ptCount val="9"/>
                <c:pt idx="0">
                  <c:v>0.56999999999999995</c:v>
                </c:pt>
                <c:pt idx="1">
                  <c:v>0.62</c:v>
                </c:pt>
                <c:pt idx="2">
                  <c:v>0.51</c:v>
                </c:pt>
                <c:pt idx="3">
                  <c:v>0.59</c:v>
                </c:pt>
                <c:pt idx="4">
                  <c:v>1.49</c:v>
                </c:pt>
                <c:pt idx="5">
                  <c:v>1.69</c:v>
                </c:pt>
                <c:pt idx="6">
                  <c:v>0.87</c:v>
                </c:pt>
                <c:pt idx="7">
                  <c:v>0.68</c:v>
                </c:pt>
                <c:pt idx="8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7-4568-B2E5-85360A384F6C}"/>
            </c:ext>
          </c:extLst>
        </c:ser>
        <c:ser>
          <c:idx val="1"/>
          <c:order val="1"/>
          <c:tx>
            <c:strRef>
              <c:f>Sheet4!$C$2:$C$4</c:f>
              <c:strCache>
                <c:ptCount val="3"/>
                <c:pt idx="0">
                  <c:v>Tobin’s Q</c:v>
                </c:pt>
                <c:pt idx="1">
                  <c:v>Tahun </c:v>
                </c:pt>
                <c:pt idx="2">
                  <c:v>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Sheet4!$A$5:$A$13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Sheet4!$C$5:$C$13</c:f>
              <c:numCache>
                <c:formatCode>General</c:formatCode>
                <c:ptCount val="9"/>
                <c:pt idx="0">
                  <c:v>0.61</c:v>
                </c:pt>
                <c:pt idx="1">
                  <c:v>0.66</c:v>
                </c:pt>
                <c:pt idx="2">
                  <c:v>0.53</c:v>
                </c:pt>
                <c:pt idx="3">
                  <c:v>0.6</c:v>
                </c:pt>
                <c:pt idx="4">
                  <c:v>1.47</c:v>
                </c:pt>
                <c:pt idx="5">
                  <c:v>1.59</c:v>
                </c:pt>
                <c:pt idx="6">
                  <c:v>1.25</c:v>
                </c:pt>
                <c:pt idx="7">
                  <c:v>1.08</c:v>
                </c:pt>
                <c:pt idx="8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7-4568-B2E5-85360A384F6C}"/>
            </c:ext>
          </c:extLst>
        </c:ser>
        <c:ser>
          <c:idx val="2"/>
          <c:order val="2"/>
          <c:tx>
            <c:strRef>
              <c:f>Sheet4!$D$2:$D$4</c:f>
              <c:strCache>
                <c:ptCount val="3"/>
                <c:pt idx="0">
                  <c:v>Tobin’s Q</c:v>
                </c:pt>
                <c:pt idx="1">
                  <c:v>Tahun </c:v>
                </c:pt>
                <c:pt idx="2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Sheet4!$A$5:$A$13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Sheet4!$D$5:$D$13</c:f>
              <c:numCache>
                <c:formatCode>General</c:formatCode>
                <c:ptCount val="9"/>
                <c:pt idx="0">
                  <c:v>0.56000000000000005</c:v>
                </c:pt>
                <c:pt idx="1">
                  <c:v>0.5</c:v>
                </c:pt>
                <c:pt idx="2">
                  <c:v>0.52</c:v>
                </c:pt>
                <c:pt idx="3">
                  <c:v>0.51</c:v>
                </c:pt>
                <c:pt idx="4">
                  <c:v>0.79</c:v>
                </c:pt>
                <c:pt idx="5">
                  <c:v>0.39</c:v>
                </c:pt>
                <c:pt idx="6">
                  <c:v>0.9</c:v>
                </c:pt>
                <c:pt idx="7">
                  <c:v>0.85</c:v>
                </c:pt>
                <c:pt idx="8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67-4568-B2E5-85360A384F6C}"/>
            </c:ext>
          </c:extLst>
        </c:ser>
        <c:ser>
          <c:idx val="3"/>
          <c:order val="3"/>
          <c:tx>
            <c:strRef>
              <c:f>Sheet4!$E$2:$E$4</c:f>
              <c:strCache>
                <c:ptCount val="3"/>
                <c:pt idx="0">
                  <c:v>Tobin’s Q</c:v>
                </c:pt>
                <c:pt idx="1">
                  <c:v>Tahun </c:v>
                </c:pt>
                <c:pt idx="2">
                  <c:v>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Sheet4!$A$5:$A$13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Sheet4!$E$5:$E$13</c:f>
              <c:numCache>
                <c:formatCode>General</c:formatCode>
                <c:ptCount val="9"/>
                <c:pt idx="0">
                  <c:v>0.55000000000000004</c:v>
                </c:pt>
                <c:pt idx="1">
                  <c:v>0.62</c:v>
                </c:pt>
                <c:pt idx="2">
                  <c:v>0.52</c:v>
                </c:pt>
                <c:pt idx="3">
                  <c:v>0.52</c:v>
                </c:pt>
                <c:pt idx="4">
                  <c:v>0.76</c:v>
                </c:pt>
                <c:pt idx="5">
                  <c:v>0.52</c:v>
                </c:pt>
                <c:pt idx="6">
                  <c:v>0.66</c:v>
                </c:pt>
                <c:pt idx="7">
                  <c:v>0.75</c:v>
                </c:pt>
                <c:pt idx="8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67-4568-B2E5-85360A384F6C}"/>
            </c:ext>
          </c:extLst>
        </c:ser>
        <c:ser>
          <c:idx val="4"/>
          <c:order val="4"/>
          <c:tx>
            <c:strRef>
              <c:f>Sheet4!$F$2:$F$4</c:f>
              <c:strCache>
                <c:ptCount val="3"/>
                <c:pt idx="0">
                  <c:v>Tobin’s Q</c:v>
                </c:pt>
                <c:pt idx="1">
                  <c:v>Tahun </c:v>
                </c:pt>
                <c:pt idx="2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Sheet4!$A$5:$A$13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Sheet4!$F$5:$F$13</c:f>
              <c:numCache>
                <c:formatCode>General</c:formatCode>
                <c:ptCount val="9"/>
                <c:pt idx="0">
                  <c:v>0.6</c:v>
                </c:pt>
                <c:pt idx="1">
                  <c:v>0.67</c:v>
                </c:pt>
                <c:pt idx="2">
                  <c:v>0.54</c:v>
                </c:pt>
                <c:pt idx="3">
                  <c:v>0.63</c:v>
                </c:pt>
                <c:pt idx="4">
                  <c:v>0.63</c:v>
                </c:pt>
                <c:pt idx="5">
                  <c:v>1.1299999999999999</c:v>
                </c:pt>
                <c:pt idx="6">
                  <c:v>0.59</c:v>
                </c:pt>
                <c:pt idx="7">
                  <c:v>0.61</c:v>
                </c:pt>
                <c:pt idx="8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67-4568-B2E5-85360A384F6C}"/>
            </c:ext>
          </c:extLst>
        </c:ser>
        <c:ser>
          <c:idx val="5"/>
          <c:order val="5"/>
          <c:tx>
            <c:strRef>
              <c:f>Sheet4!$G$2:$G$4</c:f>
              <c:strCache>
                <c:ptCount val="3"/>
                <c:pt idx="0">
                  <c:v>Tobin’s Q</c:v>
                </c:pt>
                <c:pt idx="1">
                  <c:v>Tahun </c:v>
                </c:pt>
                <c:pt idx="2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Sheet4!$A$5:$A$13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Sheet4!$G$5:$G$13</c:f>
              <c:numCache>
                <c:formatCode>General</c:formatCode>
                <c:ptCount val="9"/>
                <c:pt idx="0">
                  <c:v>0.56999999999999995</c:v>
                </c:pt>
                <c:pt idx="1">
                  <c:v>0.65</c:v>
                </c:pt>
                <c:pt idx="2">
                  <c:v>0.51</c:v>
                </c:pt>
                <c:pt idx="3">
                  <c:v>0.6</c:v>
                </c:pt>
                <c:pt idx="4">
                  <c:v>0.64</c:v>
                </c:pt>
                <c:pt idx="5">
                  <c:v>1.66</c:v>
                </c:pt>
                <c:pt idx="6">
                  <c:v>0.51</c:v>
                </c:pt>
                <c:pt idx="7">
                  <c:v>0.54</c:v>
                </c:pt>
                <c:pt idx="8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67-4568-B2E5-85360A384F6C}"/>
            </c:ext>
          </c:extLst>
        </c:ser>
        <c:ser>
          <c:idx val="6"/>
          <c:order val="6"/>
          <c:tx>
            <c:strRef>
              <c:f>Sheet4!$H$2:$H$4</c:f>
              <c:strCache>
                <c:ptCount val="3"/>
                <c:pt idx="0">
                  <c:v>Rata-Rata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Sheet4!$A$5:$A$13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Sheet4!$H$5:$H$13</c:f>
              <c:numCache>
                <c:formatCode>General</c:formatCode>
                <c:ptCount val="9"/>
                <c:pt idx="0">
                  <c:v>0.57999999999999996</c:v>
                </c:pt>
                <c:pt idx="1">
                  <c:v>0.62</c:v>
                </c:pt>
                <c:pt idx="2">
                  <c:v>0.52</c:v>
                </c:pt>
                <c:pt idx="3">
                  <c:v>0.56999999999999995</c:v>
                </c:pt>
                <c:pt idx="4">
                  <c:v>0.97</c:v>
                </c:pt>
                <c:pt idx="5">
                  <c:v>1.1599999999999999</c:v>
                </c:pt>
                <c:pt idx="6">
                  <c:v>0.8</c:v>
                </c:pt>
                <c:pt idx="7">
                  <c:v>0.75</c:v>
                </c:pt>
                <c:pt idx="8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67-4568-B2E5-85360A3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3549007"/>
        <c:axId val="870807775"/>
      </c:lineChart>
      <c:catAx>
        <c:axId val="86354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70807775"/>
        <c:crosses val="autoZero"/>
        <c:auto val="1"/>
        <c:lblAlgn val="ctr"/>
        <c:lblOffset val="100"/>
        <c:noMultiLvlLbl val="0"/>
      </c:catAx>
      <c:valAx>
        <c:axId val="87080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63549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3</xdr:row>
      <xdr:rowOff>47625</xdr:rowOff>
    </xdr:from>
    <xdr:to>
      <xdr:col>19</xdr:col>
      <xdr:colOff>133350</xdr:colOff>
      <xdr:row>17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7260A5-AF74-4027-862E-340705C76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8</xdr:row>
      <xdr:rowOff>157162</xdr:rowOff>
    </xdr:from>
    <xdr:to>
      <xdr:col>14</xdr:col>
      <xdr:colOff>66675</xdr:colOff>
      <xdr:row>23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6DFB86-CF53-48CF-B188-EAEC4A270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0</xdr:row>
      <xdr:rowOff>71437</xdr:rowOff>
    </xdr:from>
    <xdr:to>
      <xdr:col>18</xdr:col>
      <xdr:colOff>0</xdr:colOff>
      <xdr:row>14</xdr:row>
      <xdr:rowOff>147637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388CDD-D2CA-4504-982F-C3E1BA449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138112</xdr:rowOff>
    </xdr:from>
    <xdr:to>
      <xdr:col>15</xdr:col>
      <xdr:colOff>600075</xdr:colOff>
      <xdr:row>13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8948A7-39E2-427F-839F-D06CB7703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1</xdr:row>
      <xdr:rowOff>138112</xdr:rowOff>
    </xdr:from>
    <xdr:to>
      <xdr:col>16</xdr:col>
      <xdr:colOff>57150</xdr:colOff>
      <xdr:row>14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E6CF11-079F-4E8E-A4D3-B0DA8A389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workbookViewId="0">
      <selection activeCell="A3" sqref="A3:A22"/>
    </sheetView>
  </sheetViews>
  <sheetFormatPr defaultRowHeight="15" x14ac:dyDescent="0.25"/>
  <cols>
    <col min="1" max="1" width="16.42578125" customWidth="1"/>
    <col min="2" max="2" width="12.5703125" customWidth="1"/>
    <col min="8" max="8" width="12.42578125" customWidth="1"/>
  </cols>
  <sheetData>
    <row r="1" spans="1:11" x14ac:dyDescent="0.25">
      <c r="A1" s="18" t="s">
        <v>25</v>
      </c>
      <c r="B1" s="18"/>
      <c r="C1" s="18"/>
      <c r="D1" s="18"/>
      <c r="E1" s="18"/>
      <c r="F1" s="18"/>
    </row>
    <row r="2" spans="1:11" x14ac:dyDescent="0.25">
      <c r="A2" t="s">
        <v>0</v>
      </c>
      <c r="B2">
        <v>2013</v>
      </c>
      <c r="C2">
        <v>2014</v>
      </c>
      <c r="D2">
        <v>2015</v>
      </c>
      <c r="E2">
        <v>2016</v>
      </c>
      <c r="F2">
        <v>2017</v>
      </c>
      <c r="G2">
        <v>2018</v>
      </c>
      <c r="H2" t="s">
        <v>26</v>
      </c>
    </row>
    <row r="3" spans="1:11" x14ac:dyDescent="0.25">
      <c r="A3" t="s">
        <v>1</v>
      </c>
      <c r="B3" s="2">
        <v>1510</v>
      </c>
      <c r="C3" s="2">
        <v>3480</v>
      </c>
      <c r="D3" s="2">
        <v>2140</v>
      </c>
      <c r="E3" s="2">
        <v>2080</v>
      </c>
      <c r="F3" s="2">
        <v>1885</v>
      </c>
      <c r="G3" s="2">
        <v>1585</v>
      </c>
      <c r="H3" s="2">
        <f>AVERAGE(B3:G3)</f>
        <v>2113.3333333333335</v>
      </c>
    </row>
    <row r="4" spans="1:11" x14ac:dyDescent="0.25">
      <c r="A4" t="s">
        <v>2</v>
      </c>
      <c r="B4" s="2">
        <v>1015</v>
      </c>
      <c r="C4" s="2">
        <v>1065</v>
      </c>
      <c r="D4">
        <v>314</v>
      </c>
      <c r="E4">
        <v>895</v>
      </c>
      <c r="F4">
        <v>625</v>
      </c>
      <c r="G4" s="2">
        <v>4590</v>
      </c>
      <c r="H4" s="2">
        <f t="shared" ref="H4:H22" si="0">AVERAGE(B4:G4)</f>
        <v>1417.3333333333333</v>
      </c>
    </row>
    <row r="5" spans="1:11" x14ac:dyDescent="0.25">
      <c r="A5" t="s">
        <v>3</v>
      </c>
      <c r="B5" s="2">
        <v>3950</v>
      </c>
      <c r="C5" s="2">
        <v>6100</v>
      </c>
      <c r="D5" s="2">
        <v>4990</v>
      </c>
      <c r="E5" s="2">
        <v>5525</v>
      </c>
      <c r="F5" s="2">
        <v>9900</v>
      </c>
      <c r="G5" s="2">
        <v>8800</v>
      </c>
      <c r="H5" s="2">
        <f t="shared" si="0"/>
        <v>6544.166666666667</v>
      </c>
    </row>
    <row r="6" spans="1:11" x14ac:dyDescent="0.25">
      <c r="A6" t="s">
        <v>4</v>
      </c>
      <c r="B6" s="2">
        <v>7250</v>
      </c>
      <c r="C6" s="2">
        <v>11650</v>
      </c>
      <c r="D6" s="2">
        <v>2285</v>
      </c>
      <c r="E6" s="2">
        <v>2335</v>
      </c>
      <c r="F6" s="2">
        <v>3640</v>
      </c>
      <c r="G6" s="2">
        <v>3660</v>
      </c>
      <c r="H6" s="2">
        <f t="shared" si="0"/>
        <v>5136.666666666667</v>
      </c>
      <c r="J6" s="3">
        <v>2013</v>
      </c>
      <c r="K6" s="2">
        <v>3245</v>
      </c>
    </row>
    <row r="7" spans="1:11" x14ac:dyDescent="0.25">
      <c r="A7" t="s">
        <v>5</v>
      </c>
      <c r="B7" s="2">
        <v>870</v>
      </c>
      <c r="C7" s="2">
        <v>1250</v>
      </c>
      <c r="D7" s="2">
        <v>1295</v>
      </c>
      <c r="E7" s="2">
        <v>1740</v>
      </c>
      <c r="F7" s="2">
        <v>3570</v>
      </c>
      <c r="G7" s="2">
        <v>2540</v>
      </c>
      <c r="H7" s="2">
        <f t="shared" si="0"/>
        <v>1877.5</v>
      </c>
      <c r="J7" s="3">
        <v>2014</v>
      </c>
      <c r="K7" s="2">
        <v>4503</v>
      </c>
    </row>
    <row r="8" spans="1:11" x14ac:dyDescent="0.25">
      <c r="A8" t="s">
        <v>6</v>
      </c>
      <c r="B8" s="2">
        <v>7850</v>
      </c>
      <c r="C8" s="2">
        <v>10100</v>
      </c>
      <c r="D8" s="2">
        <v>4625</v>
      </c>
      <c r="E8" s="2">
        <v>5788</v>
      </c>
      <c r="F8" s="2">
        <v>8000</v>
      </c>
      <c r="G8" s="2">
        <v>7375</v>
      </c>
      <c r="H8" s="2">
        <f t="shared" si="0"/>
        <v>7289.666666666667</v>
      </c>
      <c r="J8" s="3">
        <v>2015</v>
      </c>
      <c r="K8" s="2">
        <v>2474</v>
      </c>
    </row>
    <row r="9" spans="1:11" x14ac:dyDescent="0.25">
      <c r="A9" t="s">
        <v>7</v>
      </c>
      <c r="B9" s="2">
        <v>500</v>
      </c>
      <c r="C9" s="2">
        <v>555</v>
      </c>
      <c r="D9" s="2">
        <v>309</v>
      </c>
      <c r="E9" s="2">
        <v>338</v>
      </c>
      <c r="F9" s="2">
        <v>300</v>
      </c>
      <c r="G9" s="2">
        <v>298</v>
      </c>
      <c r="H9" s="2">
        <f t="shared" si="0"/>
        <v>383.33333333333331</v>
      </c>
      <c r="J9" s="3">
        <v>2016</v>
      </c>
      <c r="K9" s="2">
        <v>3108</v>
      </c>
    </row>
    <row r="10" spans="1:11" x14ac:dyDescent="0.25">
      <c r="A10" t="s">
        <v>8</v>
      </c>
      <c r="B10" s="2">
        <v>153</v>
      </c>
      <c r="C10" s="2">
        <v>355</v>
      </c>
      <c r="D10" s="2">
        <v>168</v>
      </c>
      <c r="E10" s="2">
        <v>4680</v>
      </c>
      <c r="F10" s="2">
        <v>5900</v>
      </c>
      <c r="G10" s="2">
        <v>6500</v>
      </c>
      <c r="H10" s="2">
        <f t="shared" si="0"/>
        <v>2959.3333333333335</v>
      </c>
      <c r="J10" s="3">
        <v>2017</v>
      </c>
      <c r="K10" s="2">
        <v>3643</v>
      </c>
    </row>
    <row r="11" spans="1:11" x14ac:dyDescent="0.25">
      <c r="A11" t="s">
        <v>9</v>
      </c>
      <c r="B11" s="2">
        <v>4725</v>
      </c>
      <c r="C11" s="2">
        <v>7050</v>
      </c>
      <c r="D11" s="2">
        <v>5213</v>
      </c>
      <c r="E11" s="2">
        <v>4320</v>
      </c>
      <c r="F11" s="2">
        <v>6400</v>
      </c>
      <c r="G11" s="2">
        <v>4280</v>
      </c>
      <c r="H11" s="2">
        <f t="shared" si="0"/>
        <v>5331.333333333333</v>
      </c>
      <c r="J11" s="3">
        <v>2018</v>
      </c>
      <c r="K11" s="2">
        <v>3597</v>
      </c>
    </row>
    <row r="12" spans="1:11" x14ac:dyDescent="0.25">
      <c r="A12" t="s">
        <v>10</v>
      </c>
      <c r="B12" s="2">
        <v>590</v>
      </c>
      <c r="C12" s="2">
        <v>1465</v>
      </c>
      <c r="D12" s="2">
        <v>870</v>
      </c>
      <c r="E12" s="2">
        <v>2750</v>
      </c>
      <c r="F12" s="2">
        <v>2700</v>
      </c>
      <c r="G12" s="2">
        <v>2600</v>
      </c>
      <c r="H12" s="2">
        <f t="shared" si="0"/>
        <v>1829.1666666666667</v>
      </c>
      <c r="J12" s="3"/>
    </row>
    <row r="13" spans="1:11" x14ac:dyDescent="0.25">
      <c r="A13" t="s">
        <v>11</v>
      </c>
      <c r="B13" s="2">
        <v>495</v>
      </c>
      <c r="C13" s="2">
        <v>485</v>
      </c>
      <c r="D13" s="2">
        <v>277</v>
      </c>
      <c r="E13" s="2">
        <v>770</v>
      </c>
      <c r="F13" s="2">
        <v>424</v>
      </c>
      <c r="G13" s="2">
        <v>402</v>
      </c>
      <c r="H13" s="2">
        <f t="shared" si="0"/>
        <v>475.5</v>
      </c>
    </row>
    <row r="14" spans="1:11" x14ac:dyDescent="0.25">
      <c r="A14" t="s">
        <v>12</v>
      </c>
      <c r="B14" s="2">
        <v>4475</v>
      </c>
      <c r="C14" s="2">
        <v>6000</v>
      </c>
      <c r="D14" s="2">
        <v>2745</v>
      </c>
      <c r="E14" s="2">
        <v>2700</v>
      </c>
      <c r="F14" s="2">
        <v>1750</v>
      </c>
      <c r="G14" s="2">
        <v>2120</v>
      </c>
      <c r="H14" s="2">
        <f t="shared" si="0"/>
        <v>3298.3333333333335</v>
      </c>
    </row>
    <row r="15" spans="1:11" x14ac:dyDescent="0.25">
      <c r="A15" t="s">
        <v>13</v>
      </c>
      <c r="B15" s="2">
        <v>10200</v>
      </c>
      <c r="C15" s="2">
        <v>12500</v>
      </c>
      <c r="D15" s="2">
        <v>905</v>
      </c>
      <c r="E15" s="2">
        <v>2500</v>
      </c>
      <c r="F15" s="2">
        <v>2460</v>
      </c>
      <c r="G15" s="2">
        <v>4300</v>
      </c>
      <c r="H15" s="2">
        <f t="shared" si="0"/>
        <v>5477.5</v>
      </c>
    </row>
    <row r="16" spans="1:11" x14ac:dyDescent="0.25">
      <c r="A16" t="s">
        <v>14</v>
      </c>
      <c r="B16" s="2">
        <v>1160</v>
      </c>
      <c r="C16" s="2">
        <v>2180</v>
      </c>
      <c r="D16" s="2">
        <v>3875</v>
      </c>
      <c r="E16" s="2">
        <v>3810</v>
      </c>
      <c r="F16" s="2">
        <v>2640</v>
      </c>
      <c r="G16" s="2">
        <v>1805</v>
      </c>
      <c r="H16" s="2">
        <f t="shared" si="0"/>
        <v>2578.3333333333335</v>
      </c>
    </row>
    <row r="17" spans="1:8" x14ac:dyDescent="0.25">
      <c r="A17" t="s">
        <v>15</v>
      </c>
      <c r="B17" s="2">
        <v>330</v>
      </c>
      <c r="C17" s="2">
        <v>381</v>
      </c>
      <c r="D17" s="2">
        <v>291</v>
      </c>
      <c r="E17" s="2">
        <v>2790</v>
      </c>
      <c r="F17" s="2">
        <v>3800</v>
      </c>
      <c r="G17" s="2">
        <v>1750</v>
      </c>
      <c r="H17" s="2">
        <f t="shared" si="0"/>
        <v>1557</v>
      </c>
    </row>
    <row r="18" spans="1:8" x14ac:dyDescent="0.25">
      <c r="A18" t="s">
        <v>16</v>
      </c>
      <c r="B18" s="2">
        <v>14150</v>
      </c>
      <c r="C18" s="2">
        <v>16200</v>
      </c>
      <c r="D18" s="2">
        <v>11400</v>
      </c>
      <c r="E18" s="2">
        <v>9175</v>
      </c>
      <c r="F18" s="2">
        <v>9900</v>
      </c>
      <c r="G18" s="2">
        <v>11500</v>
      </c>
      <c r="H18" s="2">
        <f t="shared" si="0"/>
        <v>12054.166666666666</v>
      </c>
    </row>
    <row r="19" spans="1:8" x14ac:dyDescent="0.25">
      <c r="A19" t="s">
        <v>17</v>
      </c>
      <c r="B19" s="2">
        <v>1540</v>
      </c>
      <c r="C19" s="2">
        <v>1230</v>
      </c>
      <c r="D19" s="2">
        <v>505</v>
      </c>
      <c r="E19" s="2">
        <v>1075</v>
      </c>
      <c r="F19" s="2">
        <v>775</v>
      </c>
      <c r="G19" s="2">
        <v>755</v>
      </c>
      <c r="H19" s="2">
        <f t="shared" si="0"/>
        <v>980</v>
      </c>
    </row>
    <row r="20" spans="1:8" x14ac:dyDescent="0.25">
      <c r="A20" t="s">
        <v>18</v>
      </c>
      <c r="B20" s="2">
        <v>2150</v>
      </c>
      <c r="C20" s="2">
        <v>2865</v>
      </c>
      <c r="D20" s="2">
        <v>3150</v>
      </c>
      <c r="E20" s="2">
        <v>3980</v>
      </c>
      <c r="F20" s="2">
        <v>4440</v>
      </c>
      <c r="G20" s="2">
        <v>3750</v>
      </c>
      <c r="H20" s="2">
        <f t="shared" si="0"/>
        <v>3389.1666666666665</v>
      </c>
    </row>
    <row r="21" spans="1:8" x14ac:dyDescent="0.25">
      <c r="A21" t="s">
        <v>19</v>
      </c>
      <c r="B21" s="2">
        <v>1580</v>
      </c>
      <c r="C21" s="2">
        <v>3680</v>
      </c>
      <c r="D21" s="2">
        <v>2445</v>
      </c>
      <c r="E21" s="2">
        <v>2360</v>
      </c>
      <c r="F21" s="2">
        <v>1550</v>
      </c>
      <c r="G21" s="2">
        <v>1655</v>
      </c>
      <c r="H21" s="2">
        <f t="shared" si="0"/>
        <v>2211.6666666666665</v>
      </c>
    </row>
    <row r="22" spans="1:8" x14ac:dyDescent="0.25">
      <c r="A22" t="s">
        <v>20</v>
      </c>
      <c r="B22" s="2">
        <v>405</v>
      </c>
      <c r="C22" s="2">
        <v>1470</v>
      </c>
      <c r="D22" s="2">
        <v>1670</v>
      </c>
      <c r="E22" s="2">
        <v>2550</v>
      </c>
      <c r="F22" s="2">
        <v>2210</v>
      </c>
      <c r="G22" s="2">
        <v>1680</v>
      </c>
      <c r="H22" s="2">
        <f t="shared" si="0"/>
        <v>1664.1666666666667</v>
      </c>
    </row>
    <row r="23" spans="1:8" x14ac:dyDescent="0.25">
      <c r="B23" s="2">
        <f t="shared" ref="B23:G23" si="1">AVERAGE(B3:B22)</f>
        <v>3244.9</v>
      </c>
      <c r="C23" s="2">
        <f t="shared" si="1"/>
        <v>4503.05</v>
      </c>
      <c r="D23" s="2">
        <f t="shared" si="1"/>
        <v>2473.6</v>
      </c>
      <c r="E23" s="2">
        <f t="shared" si="1"/>
        <v>3108.05</v>
      </c>
      <c r="F23" s="2">
        <f t="shared" si="1"/>
        <v>3643.45</v>
      </c>
      <c r="G23" s="2">
        <f t="shared" si="1"/>
        <v>3597.25</v>
      </c>
    </row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F66E-9294-4BBD-8458-7D97988899CA}">
  <dimension ref="A1:T120"/>
  <sheetViews>
    <sheetView topLeftCell="D1" workbookViewId="0">
      <selection activeCell="M3" sqref="M3"/>
    </sheetView>
  </sheetViews>
  <sheetFormatPr defaultRowHeight="15" x14ac:dyDescent="0.25"/>
  <cols>
    <col min="1" max="1" width="16.85546875" customWidth="1"/>
    <col min="2" max="2" width="20" customWidth="1"/>
    <col min="3" max="3" width="21.140625" customWidth="1"/>
    <col min="4" max="4" width="22.28515625" customWidth="1"/>
    <col min="5" max="5" width="25.140625" customWidth="1"/>
    <col min="6" max="6" width="14.5703125" customWidth="1"/>
    <col min="7" max="7" width="19.140625" customWidth="1"/>
    <col min="8" max="8" width="24" customWidth="1"/>
    <col min="9" max="9" width="14.85546875" customWidth="1"/>
    <col min="10" max="10" width="14" customWidth="1"/>
    <col min="11" max="11" width="15.28515625" customWidth="1"/>
    <col min="12" max="12" width="22.28515625" customWidth="1"/>
    <col min="13" max="13" width="10.7109375" customWidth="1"/>
    <col min="14" max="14" width="11" customWidth="1"/>
    <col min="15" max="15" width="10.7109375" customWidth="1"/>
    <col min="16" max="16" width="10.5703125" customWidth="1"/>
    <col min="17" max="17" width="9.5703125" customWidth="1"/>
    <col min="18" max="18" width="12.140625" customWidth="1"/>
    <col min="20" max="20" width="18.140625" customWidth="1"/>
  </cols>
  <sheetData>
    <row r="1" spans="1:20" x14ac:dyDescent="0.25">
      <c r="A1" s="1" t="s">
        <v>0</v>
      </c>
      <c r="B1" s="1" t="s">
        <v>23</v>
      </c>
      <c r="C1" s="1" t="s">
        <v>21</v>
      </c>
      <c r="D1" s="1" t="s">
        <v>22</v>
      </c>
      <c r="E1" s="1" t="s">
        <v>30</v>
      </c>
      <c r="F1" s="1" t="s">
        <v>31</v>
      </c>
      <c r="G1" s="4" t="s">
        <v>32</v>
      </c>
      <c r="H1" s="4" t="s">
        <v>33</v>
      </c>
      <c r="I1" s="1" t="s">
        <v>24</v>
      </c>
      <c r="K1" s="5"/>
      <c r="R1" s="5"/>
    </row>
    <row r="2" spans="1:20" x14ac:dyDescent="0.25">
      <c r="A2" t="s">
        <v>3</v>
      </c>
      <c r="B2">
        <v>2013</v>
      </c>
      <c r="C2" s="2">
        <v>3950</v>
      </c>
      <c r="D2" s="2">
        <v>18649</v>
      </c>
      <c r="E2" s="2">
        <v>338972000</v>
      </c>
      <c r="F2" s="2">
        <v>386655000</v>
      </c>
      <c r="G2" s="2">
        <f>(C2*D2)+E2</f>
        <v>412635550</v>
      </c>
      <c r="H2" s="2">
        <f>F2+E2</f>
        <v>725627000</v>
      </c>
      <c r="I2" s="10">
        <f>(G2/H2)</f>
        <v>0.56866068930731628</v>
      </c>
      <c r="K2" s="9" t="s">
        <v>23</v>
      </c>
      <c r="L2" s="12" t="s">
        <v>28</v>
      </c>
      <c r="M2" s="6"/>
      <c r="N2" s="6"/>
      <c r="O2" s="6"/>
      <c r="P2" s="6"/>
      <c r="R2" s="6"/>
    </row>
    <row r="3" spans="1:20" x14ac:dyDescent="0.25">
      <c r="B3">
        <v>2014</v>
      </c>
      <c r="C3" s="2">
        <v>6100</v>
      </c>
      <c r="D3" s="2">
        <v>18649</v>
      </c>
      <c r="E3" s="2">
        <v>355552000</v>
      </c>
      <c r="F3" s="2">
        <v>416574000</v>
      </c>
      <c r="G3" s="2">
        <f t="shared" ref="G3:G7" si="0">(C3*D3)+E3</f>
        <v>469310900</v>
      </c>
      <c r="H3" s="2">
        <f t="shared" ref="H3:H7" si="1">F3+E3</f>
        <v>772126000</v>
      </c>
      <c r="I3" s="10">
        <f t="shared" ref="I3:I56" si="2">(G3/H3)</f>
        <v>0.6078164703688258</v>
      </c>
      <c r="K3">
        <v>2013</v>
      </c>
      <c r="L3" s="10">
        <f>AVERAGE(I2,I9,I16,I23,I30,I37,I44,I51)</f>
        <v>0.87738765236071681</v>
      </c>
      <c r="M3" s="10">
        <f>AVERAGE(L3:L8)</f>
        <v>0.74578639680571523</v>
      </c>
      <c r="N3" s="6"/>
      <c r="O3" s="6"/>
      <c r="P3" s="6"/>
      <c r="R3" s="6"/>
      <c r="T3" s="10"/>
    </row>
    <row r="4" spans="1:20" x14ac:dyDescent="0.25">
      <c r="B4">
        <v>2015</v>
      </c>
      <c r="C4" s="2">
        <v>4990</v>
      </c>
      <c r="D4" s="2">
        <v>18649</v>
      </c>
      <c r="E4" s="2">
        <v>430157000</v>
      </c>
      <c r="F4" s="2">
        <v>508595000</v>
      </c>
      <c r="G4" s="2">
        <f t="shared" si="0"/>
        <v>523215510</v>
      </c>
      <c r="H4" s="2">
        <f t="shared" si="1"/>
        <v>938752000</v>
      </c>
      <c r="I4" s="10">
        <f t="shared" si="2"/>
        <v>0.55735221869034635</v>
      </c>
      <c r="K4">
        <v>2014</v>
      </c>
      <c r="L4" s="10">
        <f t="shared" ref="L4:L8" si="3">AVERAGE(I3,I10,I17,I24,I31,I38,I45,I52)</f>
        <v>0.97246233030842189</v>
      </c>
      <c r="M4" s="6"/>
      <c r="N4" s="6"/>
      <c r="O4" s="6"/>
      <c r="P4" s="6"/>
      <c r="R4" s="6"/>
      <c r="T4" s="10"/>
    </row>
    <row r="5" spans="1:20" x14ac:dyDescent="0.25">
      <c r="B5">
        <v>2016</v>
      </c>
      <c r="C5" s="2">
        <v>5525</v>
      </c>
      <c r="D5" s="2">
        <v>18649</v>
      </c>
      <c r="E5" s="2">
        <v>513778000</v>
      </c>
      <c r="F5" s="2">
        <v>603032000</v>
      </c>
      <c r="G5" s="2">
        <f t="shared" si="0"/>
        <v>616813725</v>
      </c>
      <c r="H5" s="2">
        <f t="shared" si="1"/>
        <v>1116810000</v>
      </c>
      <c r="I5" s="10">
        <f t="shared" si="2"/>
        <v>0.55229960781153464</v>
      </c>
      <c r="K5">
        <v>2015</v>
      </c>
      <c r="L5" s="10">
        <f t="shared" si="3"/>
        <v>0.6275533328330738</v>
      </c>
      <c r="M5" s="6"/>
      <c r="N5" s="6"/>
      <c r="O5" s="6"/>
      <c r="P5" s="6"/>
      <c r="R5" s="6"/>
      <c r="T5" s="10"/>
    </row>
    <row r="6" spans="1:20" x14ac:dyDescent="0.25">
      <c r="B6">
        <v>2017</v>
      </c>
      <c r="C6" s="2">
        <v>9900</v>
      </c>
      <c r="D6" s="2">
        <v>18649</v>
      </c>
      <c r="E6" s="2">
        <v>608427000</v>
      </c>
      <c r="F6" s="2">
        <v>709330000</v>
      </c>
      <c r="G6" s="2">
        <f t="shared" si="0"/>
        <v>793052100</v>
      </c>
      <c r="H6" s="2">
        <f t="shared" si="1"/>
        <v>1317757000</v>
      </c>
      <c r="I6" s="10">
        <f t="shared" si="2"/>
        <v>0.60181968299162891</v>
      </c>
      <c r="K6">
        <v>2016</v>
      </c>
      <c r="L6" s="10">
        <f t="shared" si="3"/>
        <v>0.61212877967578572</v>
      </c>
      <c r="M6" s="6"/>
      <c r="N6" s="6"/>
      <c r="O6" s="6"/>
      <c r="P6" s="6"/>
      <c r="R6" s="6"/>
      <c r="T6" s="10"/>
    </row>
    <row r="7" spans="1:20" x14ac:dyDescent="0.25">
      <c r="B7">
        <v>2018</v>
      </c>
      <c r="C7" s="2">
        <v>8800</v>
      </c>
      <c r="D7" s="2">
        <v>18649</v>
      </c>
      <c r="E7" s="2">
        <v>698198000</v>
      </c>
      <c r="F7" s="2">
        <v>808572000</v>
      </c>
      <c r="G7" s="2">
        <f t="shared" si="0"/>
        <v>862309200</v>
      </c>
      <c r="H7" s="2">
        <f t="shared" si="1"/>
        <v>1506770000</v>
      </c>
      <c r="I7" s="10">
        <f t="shared" si="2"/>
        <v>0.57228986507562529</v>
      </c>
      <c r="K7">
        <v>2017</v>
      </c>
      <c r="L7" s="10">
        <f t="shared" si="3"/>
        <v>0.67477144891329877</v>
      </c>
      <c r="M7" s="6"/>
      <c r="N7" s="6"/>
      <c r="O7" s="6"/>
      <c r="P7" s="6"/>
      <c r="R7" s="6"/>
      <c r="T7" s="10"/>
    </row>
    <row r="8" spans="1:20" x14ac:dyDescent="0.25">
      <c r="C8" s="2"/>
      <c r="D8" s="2"/>
      <c r="E8" s="2"/>
      <c r="F8" s="2"/>
      <c r="G8" s="2"/>
      <c r="H8" s="2"/>
      <c r="I8" s="10">
        <f>AVERAGE(I2:I7)</f>
        <v>0.57670642237421288</v>
      </c>
      <c r="K8">
        <v>2018</v>
      </c>
      <c r="L8" s="10">
        <f t="shared" si="3"/>
        <v>0.71041483674299433</v>
      </c>
      <c r="M8" s="6"/>
      <c r="N8" s="6"/>
      <c r="O8" s="6"/>
      <c r="P8" s="6"/>
      <c r="R8" s="6"/>
    </row>
    <row r="9" spans="1:20" x14ac:dyDescent="0.25">
      <c r="A9" t="s">
        <v>4</v>
      </c>
      <c r="B9">
        <v>2013</v>
      </c>
      <c r="C9" s="2">
        <v>7250</v>
      </c>
      <c r="D9" s="2">
        <v>24669</v>
      </c>
      <c r="E9" s="2">
        <v>546526000</v>
      </c>
      <c r="F9" s="2">
        <v>626101000</v>
      </c>
      <c r="G9" s="2">
        <f>(C9*D9)+E9</f>
        <v>725376250</v>
      </c>
      <c r="H9" s="2">
        <f>E9+F9</f>
        <v>1172627000</v>
      </c>
      <c r="I9" s="10">
        <f t="shared" si="2"/>
        <v>0.61859077950618568</v>
      </c>
      <c r="L9" s="6"/>
      <c r="M9" s="6"/>
      <c r="N9" s="6"/>
      <c r="O9" s="6"/>
      <c r="P9" s="6"/>
      <c r="R9" s="6"/>
    </row>
    <row r="10" spans="1:20" x14ac:dyDescent="0.25">
      <c r="B10">
        <v>2014</v>
      </c>
      <c r="C10" s="2">
        <v>11650</v>
      </c>
      <c r="D10" s="2">
        <v>24669</v>
      </c>
      <c r="E10" s="2">
        <v>704278000</v>
      </c>
      <c r="F10" s="2">
        <v>801984000</v>
      </c>
      <c r="G10" s="2">
        <f t="shared" ref="G10:G14" si="4">(C10*D10)+E10</f>
        <v>991671850</v>
      </c>
      <c r="H10" s="2">
        <f t="shared" ref="H10:H14" si="5">E10+F10</f>
        <v>1506262000</v>
      </c>
      <c r="I10" s="10">
        <f t="shared" si="2"/>
        <v>0.65836610762271108</v>
      </c>
      <c r="L10" s="6"/>
      <c r="M10" s="6"/>
      <c r="N10" s="6"/>
      <c r="O10" s="6"/>
      <c r="P10" s="6"/>
      <c r="R10" s="6"/>
    </row>
    <row r="11" spans="1:20" x14ac:dyDescent="0.25">
      <c r="B11">
        <v>2015</v>
      </c>
      <c r="C11" s="2">
        <v>2285</v>
      </c>
      <c r="D11" s="2">
        <v>24422</v>
      </c>
      <c r="E11" s="2">
        <v>765299000</v>
      </c>
      <c r="F11" s="2">
        <v>878426000</v>
      </c>
      <c r="G11" s="2">
        <f t="shared" si="4"/>
        <v>821103270</v>
      </c>
      <c r="H11" s="2">
        <f t="shared" si="5"/>
        <v>1643725000</v>
      </c>
      <c r="I11" s="10">
        <f t="shared" si="2"/>
        <v>0.49953810400158177</v>
      </c>
      <c r="L11" s="6"/>
      <c r="M11" s="6"/>
      <c r="N11" s="6"/>
      <c r="O11" s="6"/>
      <c r="P11" s="6"/>
      <c r="R11" s="6"/>
    </row>
    <row r="12" spans="1:20" x14ac:dyDescent="0.25">
      <c r="B12">
        <v>2016</v>
      </c>
      <c r="C12" s="2">
        <v>2335</v>
      </c>
      <c r="D12" s="2">
        <v>123346</v>
      </c>
      <c r="E12" s="2">
        <v>857268000</v>
      </c>
      <c r="F12" s="2">
        <v>1004802000</v>
      </c>
      <c r="G12" s="2">
        <f t="shared" si="4"/>
        <v>1145280910</v>
      </c>
      <c r="H12" s="2">
        <f t="shared" si="5"/>
        <v>1862070000</v>
      </c>
      <c r="I12" s="10">
        <f t="shared" si="2"/>
        <v>0.61505792478263444</v>
      </c>
      <c r="L12" s="6"/>
      <c r="M12" s="6"/>
      <c r="N12" s="6"/>
      <c r="O12" s="6"/>
      <c r="P12" s="6"/>
      <c r="R12" s="6"/>
    </row>
    <row r="13" spans="1:20" x14ac:dyDescent="0.25">
      <c r="B13">
        <v>2017</v>
      </c>
      <c r="C13" s="2">
        <v>3640</v>
      </c>
      <c r="D13" s="2">
        <v>123346</v>
      </c>
      <c r="E13" s="2">
        <v>959440000</v>
      </c>
      <c r="F13" s="2">
        <v>1127448000</v>
      </c>
      <c r="G13" s="2">
        <f t="shared" si="4"/>
        <v>1408419440</v>
      </c>
      <c r="H13" s="2">
        <f t="shared" si="5"/>
        <v>2086888000</v>
      </c>
      <c r="I13" s="10">
        <f t="shared" si="2"/>
        <v>0.67488980721533687</v>
      </c>
      <c r="L13" s="6"/>
      <c r="M13" s="6"/>
      <c r="N13" s="6"/>
      <c r="O13" s="6"/>
      <c r="P13" s="6"/>
      <c r="R13" s="6"/>
    </row>
    <row r="14" spans="1:20" x14ac:dyDescent="0.25">
      <c r="B14">
        <v>2018</v>
      </c>
      <c r="C14" s="2">
        <v>3660</v>
      </c>
      <c r="D14" s="2">
        <v>123346</v>
      </c>
      <c r="E14" s="2">
        <v>1111623000</v>
      </c>
      <c r="F14" s="2">
        <v>1296898000</v>
      </c>
      <c r="G14" s="2">
        <f t="shared" si="4"/>
        <v>1563069360</v>
      </c>
      <c r="H14" s="2">
        <f t="shared" si="5"/>
        <v>2408521000</v>
      </c>
      <c r="I14" s="10">
        <f t="shared" si="2"/>
        <v>0.64897476916331642</v>
      </c>
      <c r="L14" s="6"/>
      <c r="M14" s="6"/>
      <c r="N14" s="6"/>
      <c r="O14" s="6"/>
      <c r="P14" s="6"/>
      <c r="R14" s="6"/>
    </row>
    <row r="15" spans="1:20" x14ac:dyDescent="0.25">
      <c r="I15" s="10">
        <f>AVERAGE(I9:I14)</f>
        <v>0.61923624871529437</v>
      </c>
      <c r="L15" s="6"/>
      <c r="M15" s="6"/>
      <c r="N15" s="6"/>
      <c r="O15" s="6"/>
      <c r="P15" s="6"/>
      <c r="R15" s="6"/>
    </row>
    <row r="16" spans="1:20" x14ac:dyDescent="0.25">
      <c r="A16" t="s">
        <v>5</v>
      </c>
      <c r="B16">
        <v>2013</v>
      </c>
      <c r="C16" s="2">
        <v>870</v>
      </c>
      <c r="D16" s="2">
        <v>10565</v>
      </c>
      <c r="E16" s="2">
        <v>119613000</v>
      </c>
      <c r="F16" s="2">
        <v>131170000</v>
      </c>
      <c r="G16" s="2">
        <f>(C16*D16)+E16</f>
        <v>128804550</v>
      </c>
      <c r="H16" s="2">
        <f>E16+F16</f>
        <v>250783000</v>
      </c>
      <c r="I16" s="10">
        <f t="shared" si="2"/>
        <v>0.51360957481168978</v>
      </c>
      <c r="L16" s="6"/>
      <c r="M16" s="6"/>
      <c r="N16" s="6"/>
      <c r="O16" s="6"/>
      <c r="P16" s="6"/>
      <c r="R16" s="6"/>
    </row>
    <row r="17" spans="1:18" x14ac:dyDescent="0.25">
      <c r="B17">
        <v>2014</v>
      </c>
      <c r="C17" s="2">
        <v>1250</v>
      </c>
      <c r="D17" s="2">
        <v>10568</v>
      </c>
      <c r="E17" s="2">
        <v>132329000</v>
      </c>
      <c r="F17" s="2">
        <v>144582353</v>
      </c>
      <c r="G17" s="2">
        <f t="shared" ref="G17:G21" si="6">(C17*D17)+E17</f>
        <v>145539000</v>
      </c>
      <c r="H17" s="2">
        <f t="shared" ref="H17:H21" si="7">E17+F17</f>
        <v>276911353</v>
      </c>
      <c r="I17" s="10">
        <f t="shared" si="2"/>
        <v>0.52557975114873678</v>
      </c>
      <c r="L17" s="6"/>
      <c r="M17" s="6"/>
      <c r="N17" s="6"/>
      <c r="O17" s="6"/>
      <c r="P17" s="6"/>
      <c r="R17" s="6"/>
    </row>
    <row r="18" spans="1:18" x14ac:dyDescent="0.25">
      <c r="B18">
        <v>2015</v>
      </c>
      <c r="C18" s="2">
        <v>1295</v>
      </c>
      <c r="D18" s="2">
        <v>10582</v>
      </c>
      <c r="E18" s="2">
        <v>157947000</v>
      </c>
      <c r="F18" s="2">
        <v>171807592</v>
      </c>
      <c r="G18" s="2">
        <f t="shared" si="6"/>
        <v>171650690</v>
      </c>
      <c r="H18" s="2">
        <f t="shared" si="7"/>
        <v>329754592</v>
      </c>
      <c r="I18" s="10">
        <f t="shared" si="2"/>
        <v>0.52054071168173455</v>
      </c>
      <c r="L18" s="6"/>
      <c r="M18" s="6"/>
      <c r="N18" s="6"/>
      <c r="O18" s="6"/>
      <c r="P18" s="6"/>
      <c r="R18" s="6"/>
    </row>
    <row r="19" spans="1:18" x14ac:dyDescent="0.25">
      <c r="B19">
        <v>2016</v>
      </c>
      <c r="C19" s="2">
        <v>1740</v>
      </c>
      <c r="D19" s="2">
        <v>10590</v>
      </c>
      <c r="E19" s="2">
        <v>195038000</v>
      </c>
      <c r="F19" s="2">
        <v>214168479</v>
      </c>
      <c r="G19" s="2">
        <f t="shared" si="6"/>
        <v>213464600</v>
      </c>
      <c r="H19" s="2">
        <f t="shared" si="7"/>
        <v>409206479</v>
      </c>
      <c r="I19" s="10">
        <f t="shared" si="2"/>
        <v>0.5216549858195183</v>
      </c>
      <c r="L19" s="6"/>
      <c r="M19" s="6"/>
      <c r="N19" s="6"/>
      <c r="O19" s="6"/>
      <c r="P19" s="6"/>
      <c r="R19" s="6"/>
    </row>
    <row r="20" spans="1:18" x14ac:dyDescent="0.25">
      <c r="B20">
        <v>2017</v>
      </c>
      <c r="C20" s="2">
        <v>3570</v>
      </c>
      <c r="D20" s="2">
        <v>10590</v>
      </c>
      <c r="E20" s="2">
        <v>223937000</v>
      </c>
      <c r="F20" s="2">
        <v>261365267</v>
      </c>
      <c r="G20" s="2">
        <f t="shared" si="6"/>
        <v>261743300</v>
      </c>
      <c r="H20" s="2">
        <f t="shared" si="7"/>
        <v>485302267</v>
      </c>
      <c r="I20" s="10">
        <f t="shared" si="2"/>
        <v>0.5393407733658907</v>
      </c>
      <c r="L20" s="6"/>
      <c r="M20" s="6"/>
      <c r="N20" s="6"/>
      <c r="O20" s="6"/>
      <c r="P20" s="6"/>
      <c r="R20" s="6"/>
    </row>
    <row r="21" spans="1:18" x14ac:dyDescent="0.25">
      <c r="B21">
        <v>2018</v>
      </c>
      <c r="C21" s="2">
        <v>2540</v>
      </c>
      <c r="D21" s="2">
        <v>10590</v>
      </c>
      <c r="E21" s="2">
        <v>263784017</v>
      </c>
      <c r="F21" s="2">
        <v>306436194</v>
      </c>
      <c r="G21" s="2">
        <f t="shared" si="6"/>
        <v>290682617</v>
      </c>
      <c r="H21" s="2">
        <f t="shared" si="7"/>
        <v>570220211</v>
      </c>
      <c r="I21" s="10">
        <f t="shared" si="2"/>
        <v>0.50977256048190123</v>
      </c>
      <c r="L21" s="6"/>
      <c r="M21" s="6"/>
      <c r="N21" s="6"/>
      <c r="O21" s="6"/>
      <c r="P21" s="6"/>
      <c r="R21" s="6"/>
    </row>
    <row r="22" spans="1:18" x14ac:dyDescent="0.25">
      <c r="G22" s="2"/>
      <c r="H22" s="2"/>
      <c r="I22" s="10">
        <f>AVERAGE(I16:I21)</f>
        <v>0.52174972621824522</v>
      </c>
    </row>
    <row r="23" spans="1:18" x14ac:dyDescent="0.25">
      <c r="A23" t="s">
        <v>6</v>
      </c>
      <c r="B23">
        <v>2013</v>
      </c>
      <c r="C23" s="2">
        <v>7850</v>
      </c>
      <c r="D23" s="2">
        <v>23333</v>
      </c>
      <c r="E23" s="2">
        <v>596735488</v>
      </c>
      <c r="F23" s="2">
        <v>733099762</v>
      </c>
      <c r="G23" s="2">
        <f>(C23*D23)+E23</f>
        <v>779899538</v>
      </c>
      <c r="H23" s="2">
        <f>E23+F23</f>
        <v>1329835250</v>
      </c>
      <c r="I23" s="10">
        <f t="shared" si="2"/>
        <v>0.58646327656000996</v>
      </c>
    </row>
    <row r="24" spans="1:18" x14ac:dyDescent="0.25">
      <c r="B24">
        <v>2014</v>
      </c>
      <c r="C24" s="2">
        <v>10100</v>
      </c>
      <c r="D24" s="2">
        <v>23333</v>
      </c>
      <c r="E24" s="2">
        <v>697019624</v>
      </c>
      <c r="F24" s="2">
        <v>855039673</v>
      </c>
      <c r="G24" s="2">
        <f t="shared" ref="G24:G28" si="8">(C24*D24)+E24</f>
        <v>932682924</v>
      </c>
      <c r="H24" s="2">
        <f t="shared" ref="H24:H28" si="9">E24+F24</f>
        <v>1552059297</v>
      </c>
      <c r="I24" s="10">
        <f t="shared" si="2"/>
        <v>0.60093253254099088</v>
      </c>
    </row>
    <row r="25" spans="1:18" x14ac:dyDescent="0.25">
      <c r="B25">
        <v>2015</v>
      </c>
      <c r="C25" s="2">
        <v>4625</v>
      </c>
      <c r="D25" s="2">
        <v>23333</v>
      </c>
      <c r="E25" s="2">
        <v>736198705</v>
      </c>
      <c r="F25" s="2">
        <v>910063409</v>
      </c>
      <c r="G25" s="2">
        <f t="shared" si="8"/>
        <v>844113830</v>
      </c>
      <c r="H25" s="2">
        <f t="shared" si="9"/>
        <v>1646262114</v>
      </c>
      <c r="I25" s="10">
        <f t="shared" si="2"/>
        <v>0.51274570605832459</v>
      </c>
    </row>
    <row r="26" spans="1:18" x14ac:dyDescent="0.25">
      <c r="B26">
        <v>2016</v>
      </c>
      <c r="C26" s="2">
        <v>5788</v>
      </c>
      <c r="D26" s="2">
        <v>23333</v>
      </c>
      <c r="E26" s="2">
        <v>824559898</v>
      </c>
      <c r="F26" s="2">
        <v>1038706009</v>
      </c>
      <c r="G26" s="2">
        <f t="shared" si="8"/>
        <v>959611302</v>
      </c>
      <c r="H26" s="2">
        <f t="shared" si="9"/>
        <v>1863265907</v>
      </c>
      <c r="I26" s="10">
        <f t="shared" si="2"/>
        <v>0.51501575722224602</v>
      </c>
    </row>
    <row r="27" spans="1:18" x14ac:dyDescent="0.25">
      <c r="B27">
        <v>2017</v>
      </c>
      <c r="C27" s="2">
        <v>8000</v>
      </c>
      <c r="D27" s="2">
        <v>46666</v>
      </c>
      <c r="E27" s="2">
        <v>888026817</v>
      </c>
      <c r="F27" s="2">
        <v>1124700847</v>
      </c>
      <c r="G27" s="2">
        <f t="shared" si="8"/>
        <v>1261354817</v>
      </c>
      <c r="H27" s="2">
        <f t="shared" si="9"/>
        <v>2012727664</v>
      </c>
      <c r="I27" s="10">
        <f t="shared" si="2"/>
        <v>0.62668926331207819</v>
      </c>
    </row>
    <row r="28" spans="1:18" x14ac:dyDescent="0.25">
      <c r="B28">
        <v>2018</v>
      </c>
      <c r="C28" s="2">
        <v>7375</v>
      </c>
      <c r="D28" s="2">
        <v>46666</v>
      </c>
      <c r="E28" s="2">
        <v>941953100</v>
      </c>
      <c r="F28" s="2">
        <v>1202252094</v>
      </c>
      <c r="G28" s="2">
        <f t="shared" si="8"/>
        <v>1286114850</v>
      </c>
      <c r="H28" s="2">
        <f t="shared" si="9"/>
        <v>2144205194</v>
      </c>
      <c r="I28" s="10">
        <f t="shared" si="2"/>
        <v>0.59980959546169255</v>
      </c>
    </row>
    <row r="29" spans="1:18" x14ac:dyDescent="0.25">
      <c r="H29" s="2"/>
      <c r="I29" s="10">
        <f>AVERAGE(I23:I28)</f>
        <v>0.57360935519255696</v>
      </c>
    </row>
    <row r="30" spans="1:18" x14ac:dyDescent="0.25">
      <c r="A30" t="s">
        <v>12</v>
      </c>
      <c r="B30">
        <v>2013</v>
      </c>
      <c r="C30" s="2">
        <v>4475</v>
      </c>
      <c r="D30" s="2">
        <v>24242</v>
      </c>
      <c r="E30" s="2">
        <v>24703005</v>
      </c>
      <c r="F30" s="2">
        <v>64770165</v>
      </c>
      <c r="G30" s="2">
        <f>(C30*D30)+E30</f>
        <v>133185955</v>
      </c>
      <c r="H30" s="2">
        <f>E30+F30</f>
        <v>89473170</v>
      </c>
      <c r="I30" s="10">
        <f t="shared" si="2"/>
        <v>1.4885574636508352</v>
      </c>
    </row>
    <row r="31" spans="1:18" x14ac:dyDescent="0.25">
      <c r="B31">
        <v>2014</v>
      </c>
      <c r="C31" s="2">
        <v>6000</v>
      </c>
      <c r="D31" s="2">
        <v>24242</v>
      </c>
      <c r="E31" s="2">
        <v>42211470</v>
      </c>
      <c r="F31" s="2">
        <v>85343520</v>
      </c>
      <c r="G31" s="2">
        <f t="shared" ref="G31:G35" si="10">(C31*D31)+E31</f>
        <v>187663470</v>
      </c>
      <c r="H31" s="2">
        <f t="shared" ref="H31:H35" si="11">E31+F31</f>
        <v>127554990</v>
      </c>
      <c r="I31" s="10">
        <f t="shared" si="2"/>
        <v>1.4712358175873794</v>
      </c>
    </row>
    <row r="32" spans="1:18" x14ac:dyDescent="0.25">
      <c r="B32">
        <v>2015</v>
      </c>
      <c r="C32" s="2">
        <v>2745</v>
      </c>
      <c r="D32" s="2">
        <v>24242</v>
      </c>
      <c r="E32" s="2">
        <v>52083270</v>
      </c>
      <c r="F32" s="2">
        <v>97425330</v>
      </c>
      <c r="G32" s="2">
        <f t="shared" si="10"/>
        <v>118627560</v>
      </c>
      <c r="H32" s="2">
        <f t="shared" si="11"/>
        <v>149508600</v>
      </c>
      <c r="I32" s="10">
        <f t="shared" si="2"/>
        <v>0.79344974135267132</v>
      </c>
    </row>
    <row r="33" spans="1:9" x14ac:dyDescent="0.25">
      <c r="B33">
        <v>2016</v>
      </c>
      <c r="C33" s="2">
        <v>2700</v>
      </c>
      <c r="D33" s="2">
        <v>24242</v>
      </c>
      <c r="E33" s="2">
        <v>54959400</v>
      </c>
      <c r="F33" s="2">
        <v>102512295</v>
      </c>
      <c r="G33" s="2">
        <f t="shared" si="10"/>
        <v>120412800</v>
      </c>
      <c r="H33" s="2">
        <f t="shared" si="11"/>
        <v>157471695</v>
      </c>
      <c r="I33" s="10">
        <f t="shared" si="2"/>
        <v>0.76466313517486428</v>
      </c>
    </row>
    <row r="34" spans="1:9" x14ac:dyDescent="0.25">
      <c r="B34">
        <v>2017</v>
      </c>
      <c r="C34" s="2">
        <v>1750</v>
      </c>
      <c r="D34" s="2">
        <v>24242</v>
      </c>
      <c r="E34" s="2">
        <v>46593240</v>
      </c>
      <c r="F34" s="2">
        <v>94396935</v>
      </c>
      <c r="G34" s="2">
        <f t="shared" si="10"/>
        <v>89016740</v>
      </c>
      <c r="H34" s="2">
        <f t="shared" si="11"/>
        <v>140990175</v>
      </c>
      <c r="I34" s="10">
        <f t="shared" si="2"/>
        <v>0.63136839144997159</v>
      </c>
    </row>
    <row r="35" spans="1:9" x14ac:dyDescent="0.25">
      <c r="B35">
        <v>2018</v>
      </c>
      <c r="C35" s="2">
        <v>2120</v>
      </c>
      <c r="D35" s="2">
        <v>24242</v>
      </c>
      <c r="E35" s="2">
        <v>71060730</v>
      </c>
      <c r="F35" s="2">
        <v>119089095</v>
      </c>
      <c r="G35" s="2">
        <f t="shared" si="10"/>
        <v>122453770</v>
      </c>
      <c r="H35" s="2">
        <f t="shared" si="11"/>
        <v>190149825</v>
      </c>
      <c r="I35" s="10">
        <f t="shared" si="2"/>
        <v>0.64398570968971436</v>
      </c>
    </row>
    <row r="36" spans="1:9" x14ac:dyDescent="0.25">
      <c r="I36" s="10">
        <f>AVERAGE(I30:I35)</f>
        <v>0.96554337648423927</v>
      </c>
    </row>
    <row r="37" spans="1:9" x14ac:dyDescent="0.25">
      <c r="A37" t="s">
        <v>13</v>
      </c>
      <c r="B37">
        <v>2013</v>
      </c>
      <c r="C37" s="2">
        <v>10200</v>
      </c>
      <c r="D37" s="2">
        <v>2220</v>
      </c>
      <c r="E37" s="2">
        <v>4112693</v>
      </c>
      <c r="F37" s="2">
        <v>11673932</v>
      </c>
      <c r="G37" s="2">
        <f>(C37*D37)+E37</f>
        <v>26756693</v>
      </c>
      <c r="H37" s="2">
        <f>E37+F37</f>
        <v>15786625</v>
      </c>
      <c r="I37" s="10">
        <f t="shared" si="2"/>
        <v>1.6948963442154354</v>
      </c>
    </row>
    <row r="38" spans="1:9" x14ac:dyDescent="0.25">
      <c r="B38">
        <v>2014</v>
      </c>
      <c r="C38" s="2">
        <v>12500</v>
      </c>
      <c r="D38" s="2">
        <v>2174</v>
      </c>
      <c r="E38" s="2">
        <v>6141181</v>
      </c>
      <c r="F38" s="2">
        <v>14812023</v>
      </c>
      <c r="G38" s="2">
        <f t="shared" ref="G38:G42" si="12">(C38*D38)+E38</f>
        <v>33316181</v>
      </c>
      <c r="H38" s="2">
        <f t="shared" ref="H38:H42" si="13">E38+F38</f>
        <v>20953204</v>
      </c>
      <c r="I38" s="10">
        <f t="shared" si="2"/>
        <v>1.5900279976274749</v>
      </c>
    </row>
    <row r="39" spans="1:9" x14ac:dyDescent="0.25">
      <c r="B39">
        <v>2015</v>
      </c>
      <c r="C39" s="2">
        <v>905</v>
      </c>
      <c r="D39" s="2">
        <v>2108</v>
      </c>
      <c r="E39" s="2">
        <v>7606496</v>
      </c>
      <c r="F39" s="2">
        <v>16894043</v>
      </c>
      <c r="G39" s="2">
        <f t="shared" si="12"/>
        <v>9514236</v>
      </c>
      <c r="H39" s="2">
        <f t="shared" si="13"/>
        <v>24500539</v>
      </c>
      <c r="I39" s="10">
        <f t="shared" si="2"/>
        <v>0.38832762005766486</v>
      </c>
    </row>
    <row r="40" spans="1:9" x14ac:dyDescent="0.25">
      <c r="B40">
        <v>2016</v>
      </c>
      <c r="C40" s="2">
        <v>2500</v>
      </c>
      <c r="D40" s="2">
        <v>2304</v>
      </c>
      <c r="E40" s="2">
        <v>8024369</v>
      </c>
      <c r="F40" s="2">
        <v>18576774</v>
      </c>
      <c r="G40" s="2">
        <f t="shared" si="12"/>
        <v>13784369</v>
      </c>
      <c r="H40" s="2">
        <f t="shared" si="13"/>
        <v>26601143</v>
      </c>
      <c r="I40" s="10">
        <f t="shared" si="2"/>
        <v>0.51818709444176891</v>
      </c>
    </row>
    <row r="41" spans="1:9" x14ac:dyDescent="0.25">
      <c r="B41">
        <v>2017</v>
      </c>
      <c r="C41" s="2">
        <v>2460</v>
      </c>
      <c r="D41" s="2">
        <v>10540</v>
      </c>
      <c r="E41" s="2">
        <v>8187497</v>
      </c>
      <c r="F41" s="2">
        <v>21987482</v>
      </c>
      <c r="G41" s="2">
        <f t="shared" si="12"/>
        <v>34115897</v>
      </c>
      <c r="H41" s="2">
        <f t="shared" si="13"/>
        <v>30174979</v>
      </c>
      <c r="I41" s="10">
        <f t="shared" si="2"/>
        <v>1.1306021787123697</v>
      </c>
    </row>
    <row r="42" spans="1:9" x14ac:dyDescent="0.25">
      <c r="B42">
        <v>2018</v>
      </c>
      <c r="C42" s="2">
        <v>4300</v>
      </c>
      <c r="D42" s="2">
        <v>10540</v>
      </c>
      <c r="E42" s="2">
        <v>7903237</v>
      </c>
      <c r="F42" s="2">
        <v>24172933</v>
      </c>
      <c r="G42" s="2">
        <f t="shared" si="12"/>
        <v>53225237</v>
      </c>
      <c r="H42" s="2">
        <f t="shared" si="13"/>
        <v>32076170</v>
      </c>
      <c r="I42" s="10">
        <f t="shared" si="2"/>
        <v>1.6593389110981767</v>
      </c>
    </row>
    <row r="43" spans="1:9" x14ac:dyDescent="0.25">
      <c r="G43" s="2"/>
      <c r="H43" s="2"/>
      <c r="I43" s="10">
        <f>AVERAGE(I37:I42)</f>
        <v>1.1635633576921485</v>
      </c>
    </row>
    <row r="44" spans="1:9" x14ac:dyDescent="0.25">
      <c r="A44" t="s">
        <v>19</v>
      </c>
      <c r="B44">
        <v>2013</v>
      </c>
      <c r="C44" s="2">
        <v>1580</v>
      </c>
      <c r="D44" s="2">
        <v>6140</v>
      </c>
      <c r="E44" s="2">
        <v>9455364</v>
      </c>
      <c r="F44" s="2">
        <v>12594963</v>
      </c>
      <c r="G44" s="2">
        <f>(C44*D44)+E44</f>
        <v>19156564</v>
      </c>
      <c r="H44" s="2">
        <f>E44+F44</f>
        <v>22050327</v>
      </c>
      <c r="I44" s="10">
        <f t="shared" si="2"/>
        <v>0.86876552896471781</v>
      </c>
    </row>
    <row r="45" spans="1:9" x14ac:dyDescent="0.25">
      <c r="B45">
        <v>2014</v>
      </c>
      <c r="C45" s="2">
        <v>3680</v>
      </c>
      <c r="D45" s="2">
        <v>6149</v>
      </c>
      <c r="E45" s="2">
        <v>11044646</v>
      </c>
      <c r="F45" s="2">
        <v>15959228</v>
      </c>
      <c r="G45" s="2">
        <f t="shared" ref="G45:G49" si="14">(C45*D45)+E45</f>
        <v>33672966</v>
      </c>
      <c r="H45" s="2">
        <f t="shared" ref="H45:H49" si="15">E45+F45</f>
        <v>27003874</v>
      </c>
      <c r="I45" s="10">
        <f t="shared" si="2"/>
        <v>1.2469679720768954</v>
      </c>
    </row>
    <row r="46" spans="1:9" x14ac:dyDescent="0.25">
      <c r="B46">
        <v>2015</v>
      </c>
      <c r="C46" s="2">
        <v>2445</v>
      </c>
      <c r="D46" s="2">
        <v>6640</v>
      </c>
      <c r="E46" s="2">
        <v>14178097</v>
      </c>
      <c r="F46" s="2">
        <v>19666451</v>
      </c>
      <c r="G46" s="2">
        <f t="shared" si="14"/>
        <v>30412897</v>
      </c>
      <c r="H46" s="2">
        <f t="shared" si="15"/>
        <v>33844548</v>
      </c>
      <c r="I46" s="10">
        <f t="shared" si="2"/>
        <v>0.89860550065552658</v>
      </c>
    </row>
    <row r="47" spans="1:9" x14ac:dyDescent="0.25">
      <c r="B47">
        <v>2016</v>
      </c>
      <c r="C47" s="2">
        <v>2360</v>
      </c>
      <c r="D47" s="2">
        <v>6149</v>
      </c>
      <c r="E47" s="2">
        <v>18617215</v>
      </c>
      <c r="F47" s="2">
        <v>31355205</v>
      </c>
      <c r="G47" s="2">
        <f t="shared" si="14"/>
        <v>33128855</v>
      </c>
      <c r="H47" s="2">
        <f t="shared" si="15"/>
        <v>49972420</v>
      </c>
      <c r="I47" s="10">
        <f t="shared" si="2"/>
        <v>0.66294277923702716</v>
      </c>
    </row>
    <row r="48" spans="1:9" x14ac:dyDescent="0.25">
      <c r="B48">
        <v>2017</v>
      </c>
      <c r="C48" s="2">
        <v>1550</v>
      </c>
      <c r="D48" s="2">
        <v>8970</v>
      </c>
      <c r="E48" s="2">
        <v>31051950</v>
      </c>
      <c r="F48" s="2">
        <v>45683774</v>
      </c>
      <c r="G48" s="2">
        <f t="shared" si="14"/>
        <v>44955450</v>
      </c>
      <c r="H48" s="2">
        <f t="shared" si="15"/>
        <v>76735724</v>
      </c>
      <c r="I48" s="10">
        <f t="shared" si="2"/>
        <v>0.58584773371005139</v>
      </c>
    </row>
    <row r="49" spans="1:9" x14ac:dyDescent="0.25">
      <c r="B49">
        <v>2018</v>
      </c>
      <c r="C49" s="2">
        <v>1655</v>
      </c>
      <c r="D49" s="2">
        <v>8970</v>
      </c>
      <c r="E49" s="2">
        <v>42014687</v>
      </c>
      <c r="F49" s="2">
        <v>69230001</v>
      </c>
      <c r="G49" s="2">
        <f t="shared" si="14"/>
        <v>56860037</v>
      </c>
      <c r="H49" s="2">
        <f t="shared" si="15"/>
        <v>111244688</v>
      </c>
      <c r="I49" s="10">
        <f t="shared" si="2"/>
        <v>0.5111258615782176</v>
      </c>
    </row>
    <row r="50" spans="1:9" x14ac:dyDescent="0.25">
      <c r="C50" s="2"/>
      <c r="D50" s="2"/>
      <c r="E50" s="2"/>
      <c r="F50" s="2"/>
      <c r="G50" s="2"/>
      <c r="H50" s="2"/>
      <c r="I50" s="10">
        <f>AVERAGE(I44:I49)</f>
        <v>0.79570922937040589</v>
      </c>
    </row>
    <row r="51" spans="1:9" x14ac:dyDescent="0.25">
      <c r="A51" t="s">
        <v>20</v>
      </c>
      <c r="B51">
        <v>2013</v>
      </c>
      <c r="C51" s="2">
        <v>405</v>
      </c>
      <c r="D51" s="2">
        <v>9632</v>
      </c>
      <c r="E51" s="2">
        <v>6463550</v>
      </c>
      <c r="F51" s="2">
        <v>8788300</v>
      </c>
      <c r="G51" s="2">
        <f>(C51*D51)+E51</f>
        <v>10364510</v>
      </c>
      <c r="H51" s="2">
        <f>E51+F51</f>
        <v>15251850</v>
      </c>
      <c r="I51" s="10">
        <f t="shared" si="2"/>
        <v>0.67955756186954375</v>
      </c>
    </row>
    <row r="52" spans="1:9" x14ac:dyDescent="0.25">
      <c r="B52">
        <v>2014</v>
      </c>
      <c r="C52" s="2">
        <v>1470</v>
      </c>
      <c r="D52" s="2">
        <v>9728</v>
      </c>
      <c r="E52" s="2">
        <v>9777060</v>
      </c>
      <c r="F52" s="2">
        <v>12542040</v>
      </c>
      <c r="G52" s="2">
        <f t="shared" ref="G52:G56" si="16">(C52*D52)+E52</f>
        <v>24077220</v>
      </c>
      <c r="H52" s="2">
        <f t="shared" ref="H52:H56" si="17">E52+F52</f>
        <v>22319100</v>
      </c>
      <c r="I52" s="10">
        <f t="shared" si="2"/>
        <v>1.0787719934943614</v>
      </c>
    </row>
    <row r="53" spans="1:9" x14ac:dyDescent="0.25">
      <c r="B53">
        <v>2015</v>
      </c>
      <c r="C53" s="2">
        <v>1670</v>
      </c>
      <c r="D53" s="2">
        <v>13572</v>
      </c>
      <c r="E53" s="2">
        <v>20604900</v>
      </c>
      <c r="F53" s="2">
        <v>30309110</v>
      </c>
      <c r="G53" s="2">
        <f t="shared" si="16"/>
        <v>43270140</v>
      </c>
      <c r="H53" s="2">
        <f t="shared" si="17"/>
        <v>50914010</v>
      </c>
      <c r="I53" s="10">
        <f t="shared" si="2"/>
        <v>0.84986706016673996</v>
      </c>
    </row>
    <row r="54" spans="1:9" x14ac:dyDescent="0.25">
      <c r="B54">
        <v>2016</v>
      </c>
      <c r="C54" s="2">
        <v>2550</v>
      </c>
      <c r="D54" s="2">
        <v>13574</v>
      </c>
      <c r="E54" s="2">
        <v>44659790</v>
      </c>
      <c r="F54" s="2">
        <v>61433010</v>
      </c>
      <c r="G54" s="2">
        <f t="shared" si="16"/>
        <v>79273490</v>
      </c>
      <c r="H54" s="2">
        <f t="shared" si="17"/>
        <v>106092800</v>
      </c>
      <c r="I54" s="10">
        <f t="shared" si="2"/>
        <v>0.74720895291669176</v>
      </c>
    </row>
    <row r="55" spans="1:9" x14ac:dyDescent="0.25">
      <c r="B55">
        <v>2017</v>
      </c>
      <c r="C55" s="2">
        <v>2210</v>
      </c>
      <c r="D55" s="2">
        <v>13574</v>
      </c>
      <c r="E55" s="2">
        <v>75140940</v>
      </c>
      <c r="F55" s="2">
        <v>97895760</v>
      </c>
      <c r="G55" s="2">
        <f t="shared" si="16"/>
        <v>105139480</v>
      </c>
      <c r="H55" s="2">
        <f t="shared" si="17"/>
        <v>173036700</v>
      </c>
      <c r="I55" s="10">
        <f t="shared" si="2"/>
        <v>0.60761376054906269</v>
      </c>
    </row>
    <row r="56" spans="1:9" x14ac:dyDescent="0.25">
      <c r="B56">
        <v>2018</v>
      </c>
      <c r="C56" s="2">
        <v>1680</v>
      </c>
      <c r="D56" s="2">
        <v>13574</v>
      </c>
      <c r="E56" s="2">
        <v>95504460</v>
      </c>
      <c r="F56" s="2">
        <v>124391580</v>
      </c>
      <c r="G56" s="2">
        <f t="shared" si="16"/>
        <v>118308780</v>
      </c>
      <c r="H56" s="2">
        <f t="shared" si="17"/>
        <v>219896040</v>
      </c>
      <c r="I56" s="10">
        <f t="shared" si="2"/>
        <v>0.53802142139531028</v>
      </c>
    </row>
    <row r="57" spans="1:9" x14ac:dyDescent="0.25">
      <c r="C57" s="2"/>
      <c r="D57" s="2"/>
      <c r="E57" s="2"/>
      <c r="F57" s="2"/>
      <c r="G57" s="2"/>
      <c r="H57" s="2"/>
      <c r="I57" s="10">
        <f>AVERAGE(I51:I56)</f>
        <v>0.75017345839861826</v>
      </c>
    </row>
    <row r="58" spans="1:9" x14ac:dyDescent="0.25">
      <c r="C58" s="2"/>
      <c r="D58" s="2"/>
      <c r="E58" s="2"/>
      <c r="F58" s="2"/>
      <c r="G58" s="2"/>
      <c r="H58" s="2"/>
      <c r="I58" s="6"/>
    </row>
    <row r="59" spans="1:9" x14ac:dyDescent="0.25">
      <c r="C59" s="2"/>
      <c r="D59" s="2"/>
      <c r="E59" s="2"/>
      <c r="F59" s="2"/>
      <c r="G59" s="2"/>
      <c r="H59" s="2"/>
      <c r="I59" s="6"/>
    </row>
    <row r="60" spans="1:9" x14ac:dyDescent="0.25">
      <c r="C60" s="2"/>
      <c r="D60" s="2"/>
      <c r="E60" s="2"/>
      <c r="F60" s="2"/>
      <c r="G60" s="2"/>
      <c r="H60" s="2"/>
      <c r="I60" s="6"/>
    </row>
    <row r="61" spans="1:9" x14ac:dyDescent="0.25">
      <c r="G61" s="2"/>
      <c r="H61" s="2"/>
      <c r="I61" s="6"/>
    </row>
    <row r="62" spans="1:9" x14ac:dyDescent="0.25">
      <c r="C62" s="2"/>
      <c r="D62" s="2"/>
      <c r="E62" s="2"/>
      <c r="F62" s="2"/>
      <c r="G62" s="2"/>
      <c r="H62" s="2"/>
      <c r="I62" s="6"/>
    </row>
    <row r="63" spans="1:9" x14ac:dyDescent="0.25">
      <c r="C63" s="2"/>
      <c r="D63" s="2"/>
      <c r="E63" s="2"/>
      <c r="F63" s="2"/>
      <c r="G63" s="2"/>
      <c r="H63" s="2"/>
      <c r="I63" s="6"/>
    </row>
    <row r="64" spans="1:9" x14ac:dyDescent="0.25">
      <c r="C64" s="2"/>
      <c r="D64" s="2"/>
      <c r="E64" s="2"/>
      <c r="F64" s="2"/>
      <c r="G64" s="2"/>
      <c r="H64" s="2"/>
      <c r="I64" s="6"/>
    </row>
    <row r="65" spans="3:9" x14ac:dyDescent="0.25">
      <c r="C65" s="2"/>
      <c r="D65" s="2"/>
      <c r="E65" s="2"/>
      <c r="F65" s="2"/>
      <c r="G65" s="2"/>
      <c r="H65" s="2"/>
      <c r="I65" s="6"/>
    </row>
    <row r="66" spans="3:9" x14ac:dyDescent="0.25">
      <c r="C66" s="2"/>
      <c r="D66" s="2"/>
      <c r="E66" s="2"/>
      <c r="F66" s="2"/>
      <c r="G66" s="2"/>
      <c r="H66" s="2"/>
      <c r="I66" s="6"/>
    </row>
    <row r="67" spans="3:9" x14ac:dyDescent="0.25">
      <c r="G67" s="2"/>
      <c r="H67" s="2"/>
      <c r="I67" s="6"/>
    </row>
    <row r="73" spans="3:9" x14ac:dyDescent="0.25">
      <c r="G73" s="2"/>
      <c r="H73" s="2"/>
      <c r="I73" s="6"/>
    </row>
    <row r="74" spans="3:9" x14ac:dyDescent="0.25">
      <c r="I74" s="6">
        <f>H37/F37</f>
        <v>1.3522971523219427</v>
      </c>
    </row>
    <row r="75" spans="3:9" x14ac:dyDescent="0.25">
      <c r="I75" s="6">
        <f>H38/F38</f>
        <v>1.4146078493126832</v>
      </c>
    </row>
    <row r="76" spans="3:9" x14ac:dyDescent="0.25">
      <c r="I76" s="6">
        <f>H39/F39</f>
        <v>1.4502472261968316</v>
      </c>
    </row>
    <row r="77" spans="3:9" x14ac:dyDescent="0.25">
      <c r="I77" s="6">
        <f>H40/F40</f>
        <v>1.4319570771545156</v>
      </c>
    </row>
    <row r="78" spans="3:9" x14ac:dyDescent="0.25">
      <c r="I78" s="6">
        <f>H41/F41</f>
        <v>1.3723708335497444</v>
      </c>
    </row>
    <row r="79" spans="3:9" x14ac:dyDescent="0.25">
      <c r="G79" s="2"/>
      <c r="H79" s="2"/>
      <c r="I79" s="6"/>
    </row>
    <row r="80" spans="3:9" x14ac:dyDescent="0.25">
      <c r="C80" s="2"/>
      <c r="D80" s="2"/>
      <c r="E80" s="2"/>
      <c r="F80" s="2"/>
      <c r="G80" s="2"/>
      <c r="H80" s="2"/>
      <c r="I80" s="6"/>
    </row>
    <row r="81" spans="3:9" x14ac:dyDescent="0.25">
      <c r="C81" s="2"/>
      <c r="D81" s="2"/>
      <c r="E81" s="2"/>
      <c r="F81" s="2"/>
      <c r="G81" s="2"/>
      <c r="H81" s="2"/>
      <c r="I81" s="6"/>
    </row>
    <row r="82" spans="3:9" x14ac:dyDescent="0.25">
      <c r="C82" s="2"/>
      <c r="D82" s="2"/>
      <c r="E82" s="2"/>
      <c r="F82" s="2"/>
      <c r="G82" s="2"/>
      <c r="H82" s="2"/>
      <c r="I82" s="6"/>
    </row>
    <row r="83" spans="3:9" x14ac:dyDescent="0.25">
      <c r="C83" s="2"/>
      <c r="D83" s="2"/>
      <c r="E83" s="2"/>
      <c r="F83" s="2"/>
      <c r="G83" s="2"/>
      <c r="H83" s="2"/>
      <c r="I83" s="6"/>
    </row>
    <row r="84" spans="3:9" x14ac:dyDescent="0.25">
      <c r="C84" s="2"/>
      <c r="D84" s="2"/>
      <c r="E84" s="2"/>
      <c r="F84" s="2"/>
      <c r="G84" s="2"/>
      <c r="H84" s="2"/>
      <c r="I84" s="6"/>
    </row>
    <row r="85" spans="3:9" x14ac:dyDescent="0.25">
      <c r="G85" s="2"/>
      <c r="H85" s="2"/>
      <c r="I85" s="6"/>
    </row>
    <row r="86" spans="3:9" x14ac:dyDescent="0.25">
      <c r="C86" s="2"/>
      <c r="D86" s="2"/>
      <c r="E86" s="2"/>
      <c r="F86" s="2"/>
      <c r="G86" s="2"/>
      <c r="H86" s="2"/>
      <c r="I86" s="6"/>
    </row>
    <row r="87" spans="3:9" x14ac:dyDescent="0.25">
      <c r="C87" s="2"/>
      <c r="D87" s="2"/>
      <c r="E87" s="2"/>
      <c r="F87" s="2"/>
      <c r="G87" s="2"/>
      <c r="H87" s="2"/>
      <c r="I87" s="6"/>
    </row>
    <row r="88" spans="3:9" x14ac:dyDescent="0.25">
      <c r="C88" s="2"/>
      <c r="D88" s="2"/>
      <c r="E88" s="2"/>
      <c r="F88" s="2"/>
      <c r="G88" s="2"/>
      <c r="H88" s="2"/>
      <c r="I88" s="6"/>
    </row>
    <row r="89" spans="3:9" x14ac:dyDescent="0.25">
      <c r="C89" s="2"/>
      <c r="D89" s="2"/>
      <c r="E89" s="2"/>
      <c r="F89" s="2"/>
      <c r="G89" s="2"/>
      <c r="H89" s="2"/>
      <c r="I89" s="6"/>
    </row>
    <row r="90" spans="3:9" x14ac:dyDescent="0.25">
      <c r="C90" s="2"/>
      <c r="D90" s="2"/>
      <c r="E90" s="2"/>
      <c r="F90" s="2"/>
      <c r="G90" s="2"/>
      <c r="H90" s="2"/>
      <c r="I90" s="6"/>
    </row>
    <row r="91" spans="3:9" x14ac:dyDescent="0.25">
      <c r="G91" s="2"/>
      <c r="H91" s="2"/>
      <c r="I91" s="6"/>
    </row>
    <row r="92" spans="3:9" x14ac:dyDescent="0.25">
      <c r="C92" s="2"/>
      <c r="D92" s="2"/>
      <c r="E92" s="2"/>
      <c r="F92" s="2"/>
      <c r="G92" s="2"/>
      <c r="H92" s="2"/>
      <c r="I92" s="6"/>
    </row>
    <row r="93" spans="3:9" x14ac:dyDescent="0.25">
      <c r="C93" s="2"/>
      <c r="D93" s="2"/>
      <c r="E93" s="2"/>
      <c r="F93" s="2"/>
      <c r="G93" s="2"/>
      <c r="H93" s="2"/>
      <c r="I93" s="6"/>
    </row>
    <row r="94" spans="3:9" x14ac:dyDescent="0.25">
      <c r="C94" s="2"/>
      <c r="D94" s="2"/>
      <c r="E94" s="2"/>
      <c r="F94" s="2"/>
      <c r="G94" s="2"/>
      <c r="H94" s="2"/>
      <c r="I94" s="6"/>
    </row>
    <row r="95" spans="3:9" x14ac:dyDescent="0.25">
      <c r="C95" s="2"/>
      <c r="D95" s="2"/>
      <c r="E95" s="2"/>
      <c r="F95" s="2"/>
      <c r="G95" s="2"/>
      <c r="H95" s="2"/>
      <c r="I95" s="6"/>
    </row>
    <row r="96" spans="3:9" x14ac:dyDescent="0.25">
      <c r="C96" s="2"/>
      <c r="D96" s="2"/>
      <c r="E96" s="2"/>
      <c r="F96" s="2"/>
      <c r="G96" s="2"/>
      <c r="H96" s="2"/>
      <c r="I96" s="6"/>
    </row>
    <row r="97" spans="1:9" x14ac:dyDescent="0.25">
      <c r="G97" s="2"/>
      <c r="H97" s="2"/>
      <c r="I97" s="6"/>
    </row>
    <row r="98" spans="1:9" x14ac:dyDescent="0.25">
      <c r="C98" s="2"/>
      <c r="D98" s="2"/>
      <c r="E98" s="2"/>
      <c r="F98" s="2"/>
      <c r="G98" s="2"/>
      <c r="H98" s="2"/>
      <c r="I98" s="6"/>
    </row>
    <row r="99" spans="1:9" x14ac:dyDescent="0.25">
      <c r="C99" s="2"/>
      <c r="D99" s="2"/>
      <c r="E99" s="2"/>
      <c r="F99" s="2"/>
      <c r="G99" s="2"/>
      <c r="H99" s="2"/>
      <c r="I99" s="6"/>
    </row>
    <row r="100" spans="1:9" x14ac:dyDescent="0.25">
      <c r="C100" s="2"/>
      <c r="D100" s="2"/>
      <c r="E100" s="2"/>
      <c r="F100" s="2"/>
      <c r="G100" s="2"/>
      <c r="H100" s="2"/>
      <c r="I100" s="6"/>
    </row>
    <row r="101" spans="1:9" x14ac:dyDescent="0.25">
      <c r="C101" s="2"/>
      <c r="D101" s="2"/>
      <c r="E101" s="2"/>
      <c r="F101" s="2"/>
      <c r="G101" s="2"/>
      <c r="H101" s="2"/>
      <c r="I101" s="6"/>
    </row>
    <row r="102" spans="1:9" x14ac:dyDescent="0.25">
      <c r="C102" s="2"/>
      <c r="D102" s="2"/>
      <c r="E102" s="2"/>
      <c r="F102" s="2"/>
      <c r="G102" s="2"/>
      <c r="H102" s="2"/>
      <c r="I102" s="6"/>
    </row>
    <row r="103" spans="1:9" x14ac:dyDescent="0.25">
      <c r="G103" s="2"/>
      <c r="H103" s="2"/>
      <c r="I103" s="6"/>
    </row>
    <row r="104" spans="1:9" x14ac:dyDescent="0.25">
      <c r="C104" s="2"/>
      <c r="D104" s="2"/>
      <c r="E104" s="2"/>
      <c r="F104" s="2"/>
      <c r="G104" s="2"/>
      <c r="H104" s="2"/>
      <c r="I104" s="6"/>
    </row>
    <row r="105" spans="1:9" x14ac:dyDescent="0.25">
      <c r="C105" s="2"/>
      <c r="D105" s="2"/>
      <c r="E105" s="2"/>
      <c r="F105" s="2"/>
      <c r="G105" s="2"/>
      <c r="H105" s="2"/>
      <c r="I105" s="6"/>
    </row>
    <row r="106" spans="1:9" x14ac:dyDescent="0.25">
      <c r="C106" s="2"/>
      <c r="D106" s="2"/>
      <c r="E106" s="2"/>
      <c r="F106" s="2"/>
      <c r="G106" s="2"/>
      <c r="H106" s="2"/>
      <c r="I106" s="6"/>
    </row>
    <row r="107" spans="1:9" x14ac:dyDescent="0.25">
      <c r="C107" s="2"/>
      <c r="D107" s="2"/>
      <c r="E107" s="2"/>
      <c r="F107" s="2"/>
      <c r="G107" s="2"/>
      <c r="H107" s="2"/>
      <c r="I107" s="6"/>
    </row>
    <row r="108" spans="1:9" x14ac:dyDescent="0.25">
      <c r="C108" s="2"/>
      <c r="D108" s="2"/>
      <c r="E108" s="2"/>
      <c r="F108" s="2"/>
      <c r="G108" s="2"/>
      <c r="H108" s="2"/>
      <c r="I108" s="6"/>
    </row>
    <row r="109" spans="1:9" x14ac:dyDescent="0.25">
      <c r="G109" s="2"/>
      <c r="H109" s="2"/>
      <c r="I109" s="6"/>
    </row>
    <row r="110" spans="1:9" x14ac:dyDescent="0.25">
      <c r="A110" t="s">
        <v>19</v>
      </c>
      <c r="B110">
        <v>2013</v>
      </c>
      <c r="C110" s="2">
        <v>1580</v>
      </c>
      <c r="D110" s="2">
        <v>6140</v>
      </c>
      <c r="E110" s="2">
        <v>9455364</v>
      </c>
      <c r="F110" s="2">
        <v>12594963</v>
      </c>
      <c r="G110" s="2">
        <f t="shared" ref="G110:G114" si="18">C110*D110</f>
        <v>9701200</v>
      </c>
      <c r="H110" s="2">
        <f t="shared" ref="H110:H114" si="19">G110+E110</f>
        <v>19156564</v>
      </c>
      <c r="I110" s="6">
        <f t="shared" ref="I110:I114" si="20">H110/F110</f>
        <v>1.5209702481857232</v>
      </c>
    </row>
    <row r="111" spans="1:9" x14ac:dyDescent="0.25">
      <c r="B111">
        <v>2014</v>
      </c>
      <c r="C111" s="2">
        <v>3680</v>
      </c>
      <c r="D111" s="2">
        <v>6149</v>
      </c>
      <c r="E111" s="2">
        <v>11044646</v>
      </c>
      <c r="F111" s="2">
        <v>15959228</v>
      </c>
      <c r="G111" s="2">
        <f t="shared" si="18"/>
        <v>22628320</v>
      </c>
      <c r="H111" s="2">
        <f t="shared" si="19"/>
        <v>33672966</v>
      </c>
      <c r="I111" s="6">
        <f t="shared" si="20"/>
        <v>2.1099370220163531</v>
      </c>
    </row>
    <row r="112" spans="1:9" x14ac:dyDescent="0.25">
      <c r="B112">
        <v>2015</v>
      </c>
      <c r="C112" s="2">
        <v>2445</v>
      </c>
      <c r="D112" s="2">
        <v>6640</v>
      </c>
      <c r="E112" s="2">
        <v>14178097</v>
      </c>
      <c r="F112" s="2">
        <v>19666451</v>
      </c>
      <c r="G112" s="2">
        <f t="shared" si="18"/>
        <v>16234800</v>
      </c>
      <c r="H112" s="2">
        <f t="shared" si="19"/>
        <v>30412897</v>
      </c>
      <c r="I112" s="6">
        <f t="shared" si="20"/>
        <v>1.546435449893832</v>
      </c>
    </row>
    <row r="113" spans="2:9" x14ac:dyDescent="0.25">
      <c r="B113">
        <v>2016</v>
      </c>
      <c r="C113" s="2">
        <v>2360</v>
      </c>
      <c r="D113" s="2">
        <v>6149</v>
      </c>
      <c r="E113" s="2">
        <v>18617215</v>
      </c>
      <c r="F113" s="2">
        <v>31355205</v>
      </c>
      <c r="G113" s="2">
        <f t="shared" si="18"/>
        <v>14511640</v>
      </c>
      <c r="H113" s="2">
        <f t="shared" si="19"/>
        <v>33128855</v>
      </c>
      <c r="I113" s="6">
        <f t="shared" si="20"/>
        <v>1.0565663659350975</v>
      </c>
    </row>
    <row r="114" spans="2:9" x14ac:dyDescent="0.25">
      <c r="B114">
        <v>2017</v>
      </c>
      <c r="C114" s="2">
        <v>1550</v>
      </c>
      <c r="D114" s="2">
        <v>8970</v>
      </c>
      <c r="E114" s="2">
        <v>31051950</v>
      </c>
      <c r="F114" s="2">
        <v>45683774</v>
      </c>
      <c r="G114" s="2">
        <f t="shared" si="18"/>
        <v>13903500</v>
      </c>
      <c r="H114" s="2">
        <f t="shared" si="19"/>
        <v>44955450</v>
      </c>
      <c r="I114" s="6">
        <f t="shared" si="20"/>
        <v>0.98405727162558854</v>
      </c>
    </row>
    <row r="115" spans="2:9" x14ac:dyDescent="0.25">
      <c r="G115" s="2"/>
      <c r="H115" s="2"/>
      <c r="I115" s="6"/>
    </row>
    <row r="116" spans="2:9" x14ac:dyDescent="0.25">
      <c r="C116" s="2"/>
      <c r="D116" s="2"/>
      <c r="E116" s="2"/>
      <c r="F116" s="2"/>
      <c r="G116" s="2"/>
      <c r="H116" s="2"/>
      <c r="I116" s="6"/>
    </row>
    <row r="117" spans="2:9" x14ac:dyDescent="0.25">
      <c r="C117" s="2"/>
      <c r="D117" s="2"/>
      <c r="E117" s="2"/>
      <c r="F117" s="2"/>
      <c r="G117" s="2"/>
      <c r="H117" s="2"/>
      <c r="I117" s="6"/>
    </row>
    <row r="118" spans="2:9" x14ac:dyDescent="0.25">
      <c r="C118" s="2"/>
      <c r="D118" s="2"/>
      <c r="E118" s="2"/>
      <c r="F118" s="2"/>
      <c r="G118" s="2"/>
      <c r="H118" s="2"/>
      <c r="I118" s="6"/>
    </row>
    <row r="119" spans="2:9" x14ac:dyDescent="0.25">
      <c r="C119" s="2"/>
      <c r="D119" s="2"/>
      <c r="E119" s="2"/>
      <c r="F119" s="2"/>
      <c r="G119" s="2"/>
      <c r="H119" s="2"/>
      <c r="I119" s="6"/>
    </row>
    <row r="120" spans="2:9" x14ac:dyDescent="0.25">
      <c r="C120" s="2"/>
      <c r="D120" s="2"/>
      <c r="E120" s="2"/>
      <c r="F120" s="2"/>
      <c r="G120" s="2"/>
      <c r="H120" s="2"/>
      <c r="I120" s="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DDBD-3CF1-4571-83DF-EEAF33F27766}">
  <dimension ref="A1:J122"/>
  <sheetViews>
    <sheetView workbookViewId="0">
      <selection activeCell="J10" sqref="J10"/>
    </sheetView>
  </sheetViews>
  <sheetFormatPr defaultRowHeight="15" x14ac:dyDescent="0.25"/>
  <cols>
    <col min="1" max="1" width="15" customWidth="1"/>
    <col min="2" max="2" width="10.5703125" customWidth="1"/>
    <col min="3" max="3" width="11.42578125" customWidth="1"/>
    <col min="4" max="4" width="9" customWidth="1"/>
    <col min="5" max="5" width="9.28515625" customWidth="1"/>
    <col min="6" max="6" width="9.85546875" customWidth="1"/>
    <col min="7" max="7" width="9.42578125" customWidth="1"/>
    <col min="8" max="8" width="14.85546875" customWidth="1"/>
    <col min="10" max="10" width="16.5703125" customWidth="1"/>
  </cols>
  <sheetData>
    <row r="1" spans="1:10" x14ac:dyDescent="0.25">
      <c r="A1" t="s">
        <v>27</v>
      </c>
    </row>
    <row r="3" spans="1:10" x14ac:dyDescent="0.25">
      <c r="A3" s="14" t="s">
        <v>0</v>
      </c>
      <c r="B3" s="14">
        <v>2013</v>
      </c>
      <c r="C3" s="14">
        <v>2014</v>
      </c>
      <c r="D3" s="14">
        <v>2015</v>
      </c>
      <c r="E3" s="14">
        <v>2016</v>
      </c>
      <c r="F3" s="14">
        <v>2017</v>
      </c>
      <c r="G3" s="14">
        <v>2018</v>
      </c>
      <c r="I3" t="s">
        <v>23</v>
      </c>
      <c r="J3" t="s">
        <v>29</v>
      </c>
    </row>
    <row r="4" spans="1:10" x14ac:dyDescent="0.25">
      <c r="A4" s="15" t="s">
        <v>3</v>
      </c>
      <c r="B4" s="16">
        <f>30/100</f>
        <v>0.3</v>
      </c>
      <c r="C4" s="16">
        <f>25/100</f>
        <v>0.25</v>
      </c>
      <c r="D4" s="16">
        <f>25.2/100</f>
        <v>0.252</v>
      </c>
      <c r="E4" s="16">
        <f>35/100</f>
        <v>0.35</v>
      </c>
      <c r="F4" s="16">
        <f>35/100</f>
        <v>0.35</v>
      </c>
      <c r="G4" s="16">
        <f>25/100</f>
        <v>0.25</v>
      </c>
      <c r="H4" s="10">
        <f>AVERAGE(B4:G4)</f>
        <v>0.29200000000000004</v>
      </c>
      <c r="I4" s="3">
        <v>2013</v>
      </c>
      <c r="J4" s="10">
        <f>AVERAGE(B4:B11)</f>
        <v>0.35851249999999996</v>
      </c>
    </row>
    <row r="5" spans="1:10" x14ac:dyDescent="0.25">
      <c r="A5" s="15" t="s">
        <v>4</v>
      </c>
      <c r="B5" s="16">
        <f>30/100</f>
        <v>0.3</v>
      </c>
      <c r="C5" s="16">
        <f>30/100</f>
        <v>0.3</v>
      </c>
      <c r="D5" s="17">
        <f>30.27/100</f>
        <v>0.30269999999999997</v>
      </c>
      <c r="E5" s="17">
        <f>40.36/100</f>
        <v>0.40360000000000001</v>
      </c>
      <c r="F5" s="16">
        <f>45.41/100</f>
        <v>0.45409999999999995</v>
      </c>
      <c r="G5" s="16">
        <f>50/100</f>
        <v>0.5</v>
      </c>
      <c r="H5" s="10">
        <f t="shared" ref="H5:H11" si="0">AVERAGE(B5:G5)</f>
        <v>0.37673333333333331</v>
      </c>
      <c r="I5">
        <v>2014</v>
      </c>
      <c r="J5" s="10">
        <f>AVERAGE(C4:C11)</f>
        <v>0.27710000000000001</v>
      </c>
    </row>
    <row r="6" spans="1:10" x14ac:dyDescent="0.25">
      <c r="A6" s="15" t="s">
        <v>5</v>
      </c>
      <c r="B6" s="16">
        <f>30/100</f>
        <v>0.3</v>
      </c>
      <c r="C6" s="17">
        <f>19.48/100</f>
        <v>0.1948</v>
      </c>
      <c r="D6" s="17">
        <f>19.99/100</f>
        <v>0.19989999999999999</v>
      </c>
      <c r="E6" s="17">
        <f>20/100</f>
        <v>0.2</v>
      </c>
      <c r="F6" s="17">
        <f>20/100</f>
        <v>0.2</v>
      </c>
      <c r="G6" s="17">
        <f>20/100</f>
        <v>0.2</v>
      </c>
      <c r="H6" s="10">
        <f t="shared" si="0"/>
        <v>0.21578333333333333</v>
      </c>
      <c r="I6">
        <v>2015</v>
      </c>
      <c r="J6" s="10">
        <f>AVERAGE(D4:D11)</f>
        <v>0.26432500000000003</v>
      </c>
    </row>
    <row r="7" spans="1:10" x14ac:dyDescent="0.25">
      <c r="A7" s="15" t="s">
        <v>6</v>
      </c>
      <c r="B7" s="16">
        <f>30/100</f>
        <v>0.3</v>
      </c>
      <c r="C7" s="17">
        <f>25/100</f>
        <v>0.25</v>
      </c>
      <c r="D7" s="17">
        <f>30/100</f>
        <v>0.3</v>
      </c>
      <c r="E7" s="17">
        <f>45/100</f>
        <v>0.45</v>
      </c>
      <c r="F7" s="17">
        <f>45/100</f>
        <v>0.45</v>
      </c>
      <c r="G7" s="17">
        <f>45/100</f>
        <v>0.45</v>
      </c>
      <c r="H7" s="10">
        <f t="shared" si="0"/>
        <v>0.3666666666666667</v>
      </c>
      <c r="I7">
        <v>2016</v>
      </c>
      <c r="J7" s="10">
        <f>AVERAGE(E4:E11)</f>
        <v>0.33926249999999997</v>
      </c>
    </row>
    <row r="8" spans="1:10" x14ac:dyDescent="0.25">
      <c r="A8" s="15" t="s">
        <v>12</v>
      </c>
      <c r="B8" s="16">
        <f>51.81/100</f>
        <v>0.5181</v>
      </c>
      <c r="C8" s="17">
        <f>40.8/100</f>
        <v>0.40799999999999997</v>
      </c>
      <c r="D8" s="17">
        <f>41.2/100</f>
        <v>0.41200000000000003</v>
      </c>
      <c r="E8" s="17">
        <f>44.57/100</f>
        <v>0.44569999999999999</v>
      </c>
      <c r="F8" s="16">
        <f>39.41/100</f>
        <v>0.39409999999999995</v>
      </c>
      <c r="G8" s="17">
        <f>20/100</f>
        <v>0.2</v>
      </c>
      <c r="H8" s="10">
        <f t="shared" si="0"/>
        <v>0.39631666666666665</v>
      </c>
      <c r="I8" s="3">
        <v>2017</v>
      </c>
      <c r="J8" s="10">
        <f>AVERAGE(F4:F11)</f>
        <v>0.37195</v>
      </c>
    </row>
    <row r="9" spans="1:10" x14ac:dyDescent="0.25">
      <c r="A9" s="15" t="s">
        <v>13</v>
      </c>
      <c r="B9" s="16">
        <f>55/100</f>
        <v>0.55000000000000004</v>
      </c>
      <c r="C9" s="17">
        <f>35/100</f>
        <v>0.35</v>
      </c>
      <c r="D9" s="17">
        <f>30/100</f>
        <v>0.3</v>
      </c>
      <c r="E9" s="17">
        <f>30/100</f>
        <v>0.3</v>
      </c>
      <c r="F9" s="17">
        <f>75/100</f>
        <v>0.75</v>
      </c>
      <c r="G9" s="17">
        <f>75/100</f>
        <v>0.75</v>
      </c>
      <c r="H9" s="10">
        <f t="shared" si="0"/>
        <v>0.5</v>
      </c>
      <c r="I9">
        <v>2018</v>
      </c>
      <c r="J9">
        <f>AVERAGE(G4:G11)</f>
        <v>0.35</v>
      </c>
    </row>
    <row r="10" spans="1:10" x14ac:dyDescent="0.25">
      <c r="A10" s="15" t="s">
        <v>19</v>
      </c>
      <c r="B10" s="16">
        <f>30/100</f>
        <v>0.3</v>
      </c>
      <c r="C10" s="17">
        <f>16.4/100</f>
        <v>0.16399999999999998</v>
      </c>
      <c r="D10" s="17">
        <f>17.8/100</f>
        <v>0.17800000000000002</v>
      </c>
      <c r="E10" s="17">
        <f>26.48/100</f>
        <v>0.26479999999999998</v>
      </c>
      <c r="F10" s="17">
        <f>17.74/100</f>
        <v>0.17739999999999997</v>
      </c>
      <c r="G10" s="17">
        <f>20/100</f>
        <v>0.2</v>
      </c>
      <c r="H10" s="10">
        <f t="shared" si="0"/>
        <v>0.21403333333333333</v>
      </c>
      <c r="J10" s="10">
        <f>AVERAGE(J4:J9)</f>
        <v>0.32685833333333331</v>
      </c>
    </row>
    <row r="11" spans="1:10" x14ac:dyDescent="0.25">
      <c r="A11" s="15" t="s">
        <v>20</v>
      </c>
      <c r="B11" s="16">
        <f>30/100</f>
        <v>0.3</v>
      </c>
      <c r="C11" s="16">
        <f>30/100</f>
        <v>0.3</v>
      </c>
      <c r="D11" s="17">
        <f>17/100</f>
        <v>0.17</v>
      </c>
      <c r="E11" s="17">
        <f>30/100</f>
        <v>0.3</v>
      </c>
      <c r="F11" s="16">
        <f>20/100</f>
        <v>0.2</v>
      </c>
      <c r="G11" s="17">
        <f>25/100</f>
        <v>0.25</v>
      </c>
      <c r="H11" s="10">
        <f t="shared" si="0"/>
        <v>0.25333333333333335</v>
      </c>
    </row>
    <row r="12" spans="1:10" x14ac:dyDescent="0.25">
      <c r="A12" s="8"/>
      <c r="C12" s="7"/>
      <c r="D12" s="2"/>
      <c r="E12" s="7"/>
    </row>
    <row r="13" spans="1:10" x14ac:dyDescent="0.25">
      <c r="A13" s="8"/>
      <c r="C13" s="2"/>
      <c r="D13" s="2"/>
      <c r="E13" s="2"/>
      <c r="F13" s="2"/>
    </row>
    <row r="14" spans="1:10" x14ac:dyDescent="0.25">
      <c r="A14" s="8"/>
      <c r="C14" s="2"/>
      <c r="D14" s="2"/>
      <c r="E14" s="2"/>
    </row>
    <row r="15" spans="1:10" x14ac:dyDescent="0.25">
      <c r="A15" s="8"/>
      <c r="C15" s="2"/>
      <c r="D15" s="2"/>
      <c r="E15" s="2"/>
      <c r="F15" s="2"/>
    </row>
    <row r="16" spans="1:10" x14ac:dyDescent="0.25">
      <c r="A16" s="8"/>
      <c r="C16" s="2"/>
      <c r="D16" s="7"/>
      <c r="E16" s="7"/>
      <c r="F16" s="7"/>
    </row>
    <row r="19" spans="3:6" x14ac:dyDescent="0.25">
      <c r="C19" s="7"/>
      <c r="D19" s="2"/>
      <c r="E19" s="7"/>
      <c r="F19" s="7"/>
    </row>
    <row r="24" spans="3:6" x14ac:dyDescent="0.25">
      <c r="C24" s="2"/>
      <c r="D24" s="2"/>
      <c r="E24" s="2"/>
    </row>
    <row r="25" spans="3:6" x14ac:dyDescent="0.25">
      <c r="C25" s="2"/>
      <c r="D25" s="2"/>
      <c r="E25" s="2"/>
    </row>
    <row r="26" spans="3:6" x14ac:dyDescent="0.25">
      <c r="C26" s="2"/>
      <c r="D26" s="2"/>
      <c r="E26" s="2"/>
    </row>
    <row r="27" spans="3:6" x14ac:dyDescent="0.25">
      <c r="C27" s="2"/>
      <c r="D27" s="2"/>
      <c r="E27" s="2"/>
    </row>
    <row r="28" spans="3:6" x14ac:dyDescent="0.25">
      <c r="C28" s="2"/>
      <c r="D28" s="2"/>
      <c r="E28" s="2"/>
    </row>
    <row r="29" spans="3:6" x14ac:dyDescent="0.25">
      <c r="C29" s="2"/>
      <c r="D29" s="2"/>
      <c r="E29" s="2"/>
    </row>
    <row r="30" spans="3:6" x14ac:dyDescent="0.25">
      <c r="C30" s="2"/>
      <c r="D30" s="2"/>
      <c r="E30" s="2"/>
    </row>
    <row r="31" spans="3:6" x14ac:dyDescent="0.25">
      <c r="C31" s="2"/>
      <c r="D31" s="2"/>
      <c r="E31" s="2"/>
    </row>
    <row r="32" spans="3:6" x14ac:dyDescent="0.25">
      <c r="C32" s="2"/>
      <c r="D32" s="2"/>
      <c r="E32" s="2"/>
    </row>
    <row r="33" spans="1:5" x14ac:dyDescent="0.25">
      <c r="A33" s="8" t="s">
        <v>2</v>
      </c>
      <c r="C33" s="2"/>
      <c r="D33" s="2"/>
      <c r="E33" s="2"/>
    </row>
    <row r="34" spans="1:5" x14ac:dyDescent="0.25">
      <c r="A34" s="8" t="s">
        <v>7</v>
      </c>
      <c r="C34" s="2"/>
      <c r="D34" s="2"/>
      <c r="E34" s="2"/>
    </row>
    <row r="35" spans="1:5" x14ac:dyDescent="0.25">
      <c r="A35" s="8" t="s">
        <v>8</v>
      </c>
      <c r="C35" s="2"/>
      <c r="D35" s="2"/>
      <c r="E35" s="2"/>
    </row>
    <row r="36" spans="1:5" x14ac:dyDescent="0.25">
      <c r="A36" s="8" t="s">
        <v>11</v>
      </c>
      <c r="C36" s="2"/>
      <c r="D36" s="2"/>
      <c r="E36" s="2"/>
    </row>
    <row r="37" spans="1:5" x14ac:dyDescent="0.25">
      <c r="C37" s="2"/>
      <c r="D37" s="2"/>
      <c r="E37" s="2"/>
    </row>
    <row r="38" spans="1:5" x14ac:dyDescent="0.25">
      <c r="C38" s="2"/>
      <c r="D38" s="2"/>
      <c r="E38" s="2"/>
    </row>
    <row r="40" spans="1:5" x14ac:dyDescent="0.25">
      <c r="C40" s="2"/>
      <c r="D40" s="2"/>
      <c r="E40" s="2"/>
    </row>
    <row r="41" spans="1:5" x14ac:dyDescent="0.25">
      <c r="C41" s="2"/>
      <c r="D41" s="2"/>
      <c r="E41" s="2"/>
    </row>
    <row r="42" spans="1:5" x14ac:dyDescent="0.25">
      <c r="C42" s="2"/>
      <c r="D42" s="2"/>
      <c r="E42" s="2"/>
    </row>
    <row r="43" spans="1:5" x14ac:dyDescent="0.25">
      <c r="C43" s="2"/>
      <c r="D43" s="2"/>
      <c r="E43" s="2"/>
    </row>
    <row r="44" spans="1:5" x14ac:dyDescent="0.25">
      <c r="C44" s="2"/>
      <c r="D44" s="2"/>
      <c r="E44" s="2"/>
    </row>
    <row r="46" spans="1:5" x14ac:dyDescent="0.25">
      <c r="C46" s="2"/>
      <c r="D46" s="2"/>
      <c r="E46" s="2"/>
    </row>
    <row r="47" spans="1:5" x14ac:dyDescent="0.25">
      <c r="C47" s="2"/>
      <c r="D47" s="2"/>
      <c r="E47" s="2"/>
    </row>
    <row r="48" spans="1:5" x14ac:dyDescent="0.25">
      <c r="C48" s="2"/>
      <c r="D48" s="2"/>
      <c r="E48" s="2"/>
    </row>
    <row r="49" spans="3:5" x14ac:dyDescent="0.25">
      <c r="C49" s="2"/>
      <c r="D49" s="2"/>
      <c r="E49" s="2"/>
    </row>
    <row r="50" spans="3:5" x14ac:dyDescent="0.25">
      <c r="C50" s="2"/>
      <c r="D50" s="2"/>
      <c r="E50" s="2"/>
    </row>
    <row r="52" spans="3:5" x14ac:dyDescent="0.25">
      <c r="C52" s="2"/>
      <c r="D52" s="2"/>
      <c r="E52" s="2"/>
    </row>
    <row r="53" spans="3:5" x14ac:dyDescent="0.25">
      <c r="C53" s="2"/>
      <c r="D53" s="2"/>
      <c r="E53" s="2"/>
    </row>
    <row r="54" spans="3:5" x14ac:dyDescent="0.25">
      <c r="C54" s="2"/>
      <c r="D54" s="2"/>
      <c r="E54" s="2"/>
    </row>
    <row r="55" spans="3:5" x14ac:dyDescent="0.25">
      <c r="C55" s="2"/>
      <c r="D55" s="2"/>
      <c r="E55" s="2"/>
    </row>
    <row r="56" spans="3:5" x14ac:dyDescent="0.25">
      <c r="C56" s="2"/>
      <c r="D56" s="2"/>
      <c r="E56" s="2"/>
    </row>
    <row r="58" spans="3:5" x14ac:dyDescent="0.25">
      <c r="C58" s="2"/>
      <c r="D58" s="2"/>
      <c r="E58" s="2"/>
    </row>
    <row r="59" spans="3:5" x14ac:dyDescent="0.25">
      <c r="C59" s="2"/>
      <c r="D59" s="2"/>
      <c r="E59" s="2"/>
    </row>
    <row r="60" spans="3:5" x14ac:dyDescent="0.25">
      <c r="C60" s="2"/>
      <c r="D60" s="2"/>
      <c r="E60" s="2"/>
    </row>
    <row r="61" spans="3:5" x14ac:dyDescent="0.25">
      <c r="C61" s="2"/>
      <c r="D61" s="2"/>
      <c r="E61" s="2"/>
    </row>
    <row r="62" spans="3:5" x14ac:dyDescent="0.25">
      <c r="C62" s="2"/>
      <c r="D62" s="2"/>
      <c r="E62" s="2"/>
    </row>
    <row r="64" spans="3:5" x14ac:dyDescent="0.25">
      <c r="C64" s="2"/>
      <c r="D64" s="2"/>
      <c r="E64" s="2"/>
    </row>
    <row r="65" spans="3:5" x14ac:dyDescent="0.25">
      <c r="C65" s="2"/>
      <c r="D65" s="2"/>
      <c r="E65" s="2"/>
    </row>
    <row r="66" spans="3:5" x14ac:dyDescent="0.25">
      <c r="C66" s="2"/>
      <c r="D66" s="2"/>
      <c r="E66" s="2"/>
    </row>
    <row r="67" spans="3:5" x14ac:dyDescent="0.25">
      <c r="C67" s="2"/>
      <c r="D67" s="2"/>
      <c r="E67" s="2"/>
    </row>
    <row r="68" spans="3:5" x14ac:dyDescent="0.25">
      <c r="C68" s="2"/>
      <c r="D68" s="2"/>
      <c r="E68" s="2"/>
    </row>
    <row r="70" spans="3:5" x14ac:dyDescent="0.25">
      <c r="C70" s="2"/>
      <c r="D70" s="2"/>
      <c r="E70" s="2"/>
    </row>
    <row r="71" spans="3:5" x14ac:dyDescent="0.25">
      <c r="C71" s="2"/>
      <c r="D71" s="2"/>
      <c r="E71" s="2"/>
    </row>
    <row r="72" spans="3:5" x14ac:dyDescent="0.25">
      <c r="C72" s="2"/>
      <c r="D72" s="2"/>
      <c r="E72" s="2"/>
    </row>
    <row r="73" spans="3:5" x14ac:dyDescent="0.25">
      <c r="C73" s="2"/>
      <c r="D73" s="2"/>
      <c r="E73" s="2"/>
    </row>
    <row r="74" spans="3:5" x14ac:dyDescent="0.25">
      <c r="C74" s="2"/>
      <c r="D74" s="2"/>
      <c r="E74" s="2"/>
    </row>
    <row r="76" spans="3:5" x14ac:dyDescent="0.25">
      <c r="C76" s="2"/>
      <c r="D76" s="2"/>
      <c r="E76" s="2"/>
    </row>
    <row r="77" spans="3:5" x14ac:dyDescent="0.25">
      <c r="C77" s="2"/>
      <c r="D77" s="2"/>
      <c r="E77" s="2"/>
    </row>
    <row r="78" spans="3:5" x14ac:dyDescent="0.25">
      <c r="C78" s="2"/>
      <c r="D78" s="2"/>
      <c r="E78" s="2"/>
    </row>
    <row r="79" spans="3:5" x14ac:dyDescent="0.25">
      <c r="C79" s="2"/>
      <c r="D79" s="2"/>
      <c r="E79" s="2"/>
    </row>
    <row r="80" spans="3:5" x14ac:dyDescent="0.25">
      <c r="C80" s="2"/>
      <c r="D80" s="2"/>
      <c r="E80" s="2"/>
    </row>
    <row r="82" spans="3:5" x14ac:dyDescent="0.25">
      <c r="C82" s="2"/>
      <c r="D82" s="2"/>
      <c r="E82" s="2"/>
    </row>
    <row r="83" spans="3:5" x14ac:dyDescent="0.25">
      <c r="C83" s="2"/>
      <c r="D83" s="2"/>
      <c r="E83" s="2"/>
    </row>
    <row r="84" spans="3:5" x14ac:dyDescent="0.25">
      <c r="C84" s="2"/>
      <c r="D84" s="2"/>
      <c r="E84" s="2"/>
    </row>
    <row r="85" spans="3:5" x14ac:dyDescent="0.25">
      <c r="C85" s="2"/>
      <c r="D85" s="2"/>
      <c r="E85" s="2"/>
    </row>
    <row r="86" spans="3:5" x14ac:dyDescent="0.25">
      <c r="C86" s="2"/>
      <c r="D86" s="2"/>
      <c r="E86" s="2"/>
    </row>
    <row r="88" spans="3:5" x14ac:dyDescent="0.25">
      <c r="C88" s="2"/>
      <c r="D88" s="2"/>
      <c r="E88" s="2"/>
    </row>
    <row r="89" spans="3:5" x14ac:dyDescent="0.25">
      <c r="C89" s="2"/>
      <c r="D89" s="2"/>
      <c r="E89" s="2"/>
    </row>
    <row r="90" spans="3:5" x14ac:dyDescent="0.25">
      <c r="C90" s="2"/>
      <c r="D90" s="2"/>
      <c r="E90" s="2"/>
    </row>
    <row r="91" spans="3:5" x14ac:dyDescent="0.25">
      <c r="C91" s="2"/>
      <c r="D91" s="2"/>
      <c r="E91" s="2"/>
    </row>
    <row r="92" spans="3:5" x14ac:dyDescent="0.25">
      <c r="C92" s="2"/>
      <c r="D92" s="2"/>
      <c r="E92" s="2"/>
    </row>
    <row r="94" spans="3:5" x14ac:dyDescent="0.25">
      <c r="C94" s="2"/>
      <c r="D94" s="2"/>
      <c r="E94" s="2"/>
    </row>
    <row r="95" spans="3:5" x14ac:dyDescent="0.25">
      <c r="C95" s="2"/>
      <c r="D95" s="2"/>
      <c r="E95" s="2"/>
    </row>
    <row r="96" spans="3:5" x14ac:dyDescent="0.25">
      <c r="C96" s="2"/>
      <c r="D96" s="2"/>
      <c r="E96" s="2"/>
    </row>
    <row r="97" spans="3:5" x14ac:dyDescent="0.25">
      <c r="C97" s="2"/>
      <c r="D97" s="2"/>
      <c r="E97" s="2"/>
    </row>
    <row r="98" spans="3:5" x14ac:dyDescent="0.25">
      <c r="C98" s="2"/>
      <c r="D98" s="2"/>
      <c r="E98" s="2"/>
    </row>
    <row r="100" spans="3:5" x14ac:dyDescent="0.25">
      <c r="C100" s="2"/>
      <c r="D100" s="2"/>
      <c r="E100" s="2"/>
    </row>
    <row r="101" spans="3:5" x14ac:dyDescent="0.25">
      <c r="C101" s="2"/>
      <c r="D101" s="2"/>
      <c r="E101" s="2"/>
    </row>
    <row r="102" spans="3:5" x14ac:dyDescent="0.25">
      <c r="C102" s="2"/>
      <c r="D102" s="2"/>
      <c r="E102" s="2"/>
    </row>
    <row r="103" spans="3:5" x14ac:dyDescent="0.25">
      <c r="C103" s="2"/>
      <c r="D103" s="2"/>
      <c r="E103" s="2"/>
    </row>
    <row r="104" spans="3:5" x14ac:dyDescent="0.25">
      <c r="C104" s="2"/>
      <c r="D104" s="2"/>
      <c r="E104" s="2"/>
    </row>
    <row r="106" spans="3:5" x14ac:dyDescent="0.25">
      <c r="C106" s="2"/>
      <c r="D106" s="2"/>
      <c r="E106" s="2"/>
    </row>
    <row r="107" spans="3:5" x14ac:dyDescent="0.25">
      <c r="C107" s="2"/>
      <c r="D107" s="2"/>
      <c r="E107" s="2"/>
    </row>
    <row r="108" spans="3:5" x14ac:dyDescent="0.25">
      <c r="C108" s="2"/>
      <c r="D108" s="2"/>
      <c r="E108" s="2"/>
    </row>
    <row r="109" spans="3:5" x14ac:dyDescent="0.25">
      <c r="C109" s="2"/>
      <c r="D109" s="2"/>
      <c r="E109" s="2"/>
    </row>
    <row r="110" spans="3:5" x14ac:dyDescent="0.25">
      <c r="C110" s="2"/>
      <c r="D110" s="2"/>
      <c r="E110" s="2"/>
    </row>
    <row r="112" spans="3:5" x14ac:dyDescent="0.25">
      <c r="C112" s="2"/>
      <c r="D112" s="2"/>
      <c r="E112" s="2"/>
    </row>
    <row r="113" spans="3:5" x14ac:dyDescent="0.25">
      <c r="C113" s="2"/>
      <c r="D113" s="2"/>
      <c r="E113" s="2"/>
    </row>
    <row r="114" spans="3:5" x14ac:dyDescent="0.25">
      <c r="C114" s="2"/>
      <c r="D114" s="2"/>
      <c r="E114" s="2"/>
    </row>
    <row r="115" spans="3:5" x14ac:dyDescent="0.25">
      <c r="C115" s="2"/>
      <c r="D115" s="2"/>
      <c r="E115" s="2"/>
    </row>
    <row r="116" spans="3:5" x14ac:dyDescent="0.25">
      <c r="C116" s="2"/>
      <c r="D116" s="2"/>
      <c r="E116" s="2"/>
    </row>
    <row r="118" spans="3:5" x14ac:dyDescent="0.25">
      <c r="C118" s="2"/>
      <c r="D118" s="2"/>
      <c r="E118" s="2"/>
    </row>
    <row r="119" spans="3:5" x14ac:dyDescent="0.25">
      <c r="C119" s="2"/>
      <c r="D119" s="2"/>
      <c r="E119" s="2"/>
    </row>
    <row r="120" spans="3:5" x14ac:dyDescent="0.25">
      <c r="C120" s="2"/>
      <c r="D120" s="2"/>
      <c r="E120" s="2"/>
    </row>
    <row r="121" spans="3:5" x14ac:dyDescent="0.25">
      <c r="C121" s="2"/>
      <c r="D121" s="2"/>
      <c r="E121" s="2"/>
    </row>
    <row r="122" spans="3:5" x14ac:dyDescent="0.25">
      <c r="C122" s="2"/>
      <c r="D122" s="2"/>
      <c r="E122" s="2"/>
    </row>
  </sheetData>
  <pageMargins left="0.7" right="0.7" top="0.75" bottom="0.75" header="0.3" footer="0.3"/>
  <pageSetup orientation="portrait" r:id="rId1"/>
  <ignoredErrors>
    <ignoredError sqref="C7 D8 E10 G7 G9 D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F70E-89A5-4621-B544-6C9B673439D3}">
  <dimension ref="A2:E57"/>
  <sheetViews>
    <sheetView topLeftCell="A45" workbookViewId="0">
      <selection activeCell="C45" sqref="C45"/>
    </sheetView>
  </sheetViews>
  <sheetFormatPr defaultRowHeight="15" x14ac:dyDescent="0.25"/>
  <cols>
    <col min="1" max="1" width="13.5703125" customWidth="1"/>
    <col min="2" max="2" width="13.7109375" customWidth="1"/>
    <col min="3" max="3" width="33" customWidth="1"/>
    <col min="4" max="4" width="30.7109375" customWidth="1"/>
    <col min="5" max="5" width="10.85546875" customWidth="1"/>
  </cols>
  <sheetData>
    <row r="2" spans="1:5" x14ac:dyDescent="0.25">
      <c r="A2" s="11" t="s">
        <v>0</v>
      </c>
      <c r="B2" s="11" t="s">
        <v>23</v>
      </c>
      <c r="C2" s="11" t="s">
        <v>34</v>
      </c>
      <c r="D2" s="11" t="s">
        <v>35</v>
      </c>
      <c r="E2" s="11" t="s">
        <v>36</v>
      </c>
    </row>
    <row r="3" spans="1:5" x14ac:dyDescent="0.25">
      <c r="A3" s="19" t="s">
        <v>3</v>
      </c>
      <c r="B3">
        <v>2013</v>
      </c>
      <c r="C3">
        <v>145.71</v>
      </c>
      <c r="D3">
        <v>496</v>
      </c>
      <c r="E3" s="6">
        <f>(C3/D3)*100</f>
        <v>29.377016129032256</v>
      </c>
    </row>
    <row r="4" spans="1:5" x14ac:dyDescent="0.25">
      <c r="A4" s="19"/>
      <c r="B4">
        <v>2014</v>
      </c>
      <c r="C4">
        <v>144.54</v>
      </c>
      <c r="D4">
        <v>578</v>
      </c>
      <c r="E4" s="6">
        <f t="shared" ref="E4:E57" si="0">(C4/D4)*100</f>
        <v>25.006920415224915</v>
      </c>
    </row>
    <row r="5" spans="1:5" x14ac:dyDescent="0.25">
      <c r="A5" s="19"/>
      <c r="B5">
        <v>2015</v>
      </c>
      <c r="C5">
        <v>122.5</v>
      </c>
      <c r="D5">
        <v>487</v>
      </c>
      <c r="E5" s="6">
        <f t="shared" si="0"/>
        <v>25.154004106776178</v>
      </c>
    </row>
    <row r="6" spans="1:5" x14ac:dyDescent="0.25">
      <c r="A6" s="19"/>
      <c r="B6">
        <v>2016</v>
      </c>
      <c r="C6" s="13">
        <v>212.81</v>
      </c>
      <c r="D6">
        <v>610</v>
      </c>
      <c r="E6" s="6">
        <f t="shared" si="0"/>
        <v>34.886885245901638</v>
      </c>
    </row>
    <row r="7" spans="1:5" x14ac:dyDescent="0.25">
      <c r="A7" s="19"/>
      <c r="B7">
        <v>2017</v>
      </c>
      <c r="C7" s="13">
        <v>255.56</v>
      </c>
      <c r="D7">
        <v>730</v>
      </c>
      <c r="E7" s="6">
        <f t="shared" si="0"/>
        <v>35.008219178082186</v>
      </c>
    </row>
    <row r="8" spans="1:5" x14ac:dyDescent="0.25">
      <c r="A8" s="19"/>
      <c r="B8">
        <v>2018</v>
      </c>
      <c r="C8" s="10">
        <v>201.29</v>
      </c>
      <c r="D8">
        <v>805</v>
      </c>
      <c r="E8" s="6">
        <f t="shared" si="0"/>
        <v>25.004968944099375</v>
      </c>
    </row>
    <row r="9" spans="1:5" x14ac:dyDescent="0.25">
      <c r="E9" s="6"/>
    </row>
    <row r="10" spans="1:5" x14ac:dyDescent="0.25">
      <c r="A10" s="19" t="s">
        <v>4</v>
      </c>
      <c r="B10">
        <v>2013</v>
      </c>
      <c r="C10">
        <v>225.23</v>
      </c>
      <c r="D10">
        <v>865.22</v>
      </c>
      <c r="E10" s="6">
        <f t="shared" si="0"/>
        <v>26.031529553177222</v>
      </c>
    </row>
    <row r="11" spans="1:5" x14ac:dyDescent="0.25">
      <c r="A11" s="19"/>
      <c r="B11">
        <v>2014</v>
      </c>
      <c r="C11">
        <v>257.22000000000003</v>
      </c>
      <c r="D11">
        <v>981.59</v>
      </c>
      <c r="E11" s="6">
        <f t="shared" si="0"/>
        <v>26.204423435446571</v>
      </c>
    </row>
    <row r="12" spans="1:5" x14ac:dyDescent="0.25">
      <c r="A12" s="19"/>
      <c r="B12">
        <v>2015</v>
      </c>
      <c r="C12">
        <v>294.8</v>
      </c>
      <c r="D12">
        <v>1030.43</v>
      </c>
      <c r="E12" s="6">
        <f t="shared" si="0"/>
        <v>28.609415486738541</v>
      </c>
    </row>
    <row r="13" spans="1:5" x14ac:dyDescent="0.25">
      <c r="A13" s="19"/>
      <c r="B13">
        <v>2016</v>
      </c>
      <c r="C13">
        <v>62.33</v>
      </c>
      <c r="D13">
        <v>214.04</v>
      </c>
      <c r="E13" s="6">
        <f t="shared" si="0"/>
        <v>29.120725098112505</v>
      </c>
    </row>
    <row r="14" spans="1:5" x14ac:dyDescent="0.25">
      <c r="A14" s="19"/>
      <c r="B14">
        <v>2017</v>
      </c>
      <c r="C14">
        <v>82.72</v>
      </c>
      <c r="D14">
        <v>236.93</v>
      </c>
      <c r="E14" s="6">
        <f t="shared" si="0"/>
        <v>34.913265521462037</v>
      </c>
    </row>
    <row r="15" spans="1:5" x14ac:dyDescent="0.25">
      <c r="A15" s="19"/>
      <c r="B15">
        <v>2018</v>
      </c>
      <c r="C15">
        <v>106.75</v>
      </c>
      <c r="D15">
        <v>264.66000000000003</v>
      </c>
      <c r="E15" s="6">
        <f t="shared" si="0"/>
        <v>40.334769137761647</v>
      </c>
    </row>
    <row r="16" spans="1:5" x14ac:dyDescent="0.25">
      <c r="E16" s="6"/>
    </row>
    <row r="17" spans="1:5" x14ac:dyDescent="0.25">
      <c r="A17" s="19" t="s">
        <v>5</v>
      </c>
      <c r="B17">
        <v>2013</v>
      </c>
      <c r="C17">
        <v>44.36</v>
      </c>
      <c r="D17">
        <v>148</v>
      </c>
      <c r="E17" s="6">
        <f t="shared" si="0"/>
        <v>29.972972972972972</v>
      </c>
    </row>
    <row r="18" spans="1:5" x14ac:dyDescent="0.25">
      <c r="A18" s="19"/>
      <c r="B18">
        <v>2014</v>
      </c>
      <c r="C18">
        <v>21.11</v>
      </c>
      <c r="D18">
        <v>108</v>
      </c>
      <c r="E18" s="6">
        <f t="shared" si="0"/>
        <v>19.546296296296294</v>
      </c>
    </row>
    <row r="19" spans="1:5" x14ac:dyDescent="0.25">
      <c r="A19" s="19"/>
      <c r="B19">
        <v>2015</v>
      </c>
      <c r="C19">
        <v>34.96</v>
      </c>
      <c r="D19">
        <v>175</v>
      </c>
      <c r="E19" s="6">
        <f t="shared" si="0"/>
        <v>19.977142857142859</v>
      </c>
    </row>
    <row r="20" spans="1:5" x14ac:dyDescent="0.25">
      <c r="A20" s="19"/>
      <c r="B20">
        <v>2016</v>
      </c>
      <c r="C20">
        <v>49.46</v>
      </c>
      <c r="D20">
        <v>247</v>
      </c>
      <c r="E20" s="6">
        <f t="shared" si="0"/>
        <v>20.024291497975707</v>
      </c>
    </row>
    <row r="21" spans="1:5" x14ac:dyDescent="0.25">
      <c r="A21" s="19"/>
      <c r="B21">
        <v>2017</v>
      </c>
      <c r="C21">
        <v>57.18</v>
      </c>
      <c r="D21">
        <v>286</v>
      </c>
      <c r="E21" s="6">
        <f t="shared" si="0"/>
        <v>19.993006993006993</v>
      </c>
    </row>
    <row r="22" spans="1:5" x14ac:dyDescent="0.25">
      <c r="A22" s="19"/>
      <c r="B22">
        <v>2018</v>
      </c>
      <c r="C22">
        <v>53.03</v>
      </c>
      <c r="D22">
        <v>265</v>
      </c>
      <c r="E22" s="6">
        <f t="shared" si="0"/>
        <v>20.011320754716984</v>
      </c>
    </row>
    <row r="23" spans="1:5" x14ac:dyDescent="0.25">
      <c r="E23" s="6"/>
    </row>
    <row r="24" spans="1:5" x14ac:dyDescent="0.25">
      <c r="A24" s="19" t="s">
        <v>6</v>
      </c>
      <c r="B24">
        <v>2013</v>
      </c>
      <c r="C24">
        <v>234.05</v>
      </c>
      <c r="D24">
        <v>780.16</v>
      </c>
      <c r="E24" s="6">
        <f t="shared" si="0"/>
        <v>30.000256357670224</v>
      </c>
    </row>
    <row r="25" spans="1:5" x14ac:dyDescent="0.25">
      <c r="A25" s="19"/>
      <c r="B25">
        <v>2014</v>
      </c>
      <c r="C25">
        <v>212.91</v>
      </c>
      <c r="D25">
        <v>851.66</v>
      </c>
      <c r="E25" s="6">
        <f t="shared" si="0"/>
        <v>24.999412911255668</v>
      </c>
    </row>
    <row r="26" spans="1:5" x14ac:dyDescent="0.25">
      <c r="A26" s="19"/>
      <c r="B26">
        <v>2015</v>
      </c>
      <c r="C26">
        <v>261.45</v>
      </c>
      <c r="D26">
        <v>871.5</v>
      </c>
      <c r="E26" s="6">
        <f t="shared" si="0"/>
        <v>30</v>
      </c>
    </row>
    <row r="27" spans="1:5" x14ac:dyDescent="0.25">
      <c r="A27" s="19"/>
      <c r="B27">
        <v>2016</v>
      </c>
      <c r="C27">
        <v>266.27</v>
      </c>
      <c r="D27">
        <v>295.85000000000002</v>
      </c>
      <c r="E27" s="6">
        <f t="shared" si="0"/>
        <v>90.001690045631221</v>
      </c>
    </row>
    <row r="28" spans="1:5" x14ac:dyDescent="0.25">
      <c r="A28" s="19"/>
      <c r="B28">
        <v>2017</v>
      </c>
      <c r="C28">
        <v>199.03</v>
      </c>
      <c r="D28">
        <v>442.28</v>
      </c>
      <c r="E28" s="6">
        <f t="shared" si="0"/>
        <v>45.00090440444967</v>
      </c>
    </row>
    <row r="29" spans="1:5" x14ac:dyDescent="0.25">
      <c r="A29" s="19"/>
      <c r="B29">
        <v>2018</v>
      </c>
      <c r="C29">
        <v>241.22</v>
      </c>
      <c r="D29">
        <v>536.04</v>
      </c>
      <c r="E29" s="6">
        <f t="shared" si="0"/>
        <v>45.000373106484595</v>
      </c>
    </row>
    <row r="30" spans="1:5" x14ac:dyDescent="0.25">
      <c r="E30" s="6"/>
    </row>
    <row r="31" spans="1:5" x14ac:dyDescent="0.25">
      <c r="A31" s="19" t="s">
        <v>12</v>
      </c>
      <c r="B31">
        <v>2013</v>
      </c>
      <c r="C31">
        <v>210.4</v>
      </c>
      <c r="D31">
        <v>832.13</v>
      </c>
      <c r="E31" s="6">
        <f t="shared" si="0"/>
        <v>25.284510833643779</v>
      </c>
    </row>
    <row r="32" spans="1:5" x14ac:dyDescent="0.25">
      <c r="A32" s="19"/>
      <c r="B32">
        <v>2014</v>
      </c>
      <c r="C32">
        <v>144.84</v>
      </c>
      <c r="D32">
        <v>712.94</v>
      </c>
      <c r="E32" s="6">
        <f t="shared" si="0"/>
        <v>20.315875108704798</v>
      </c>
    </row>
    <row r="33" spans="1:5" x14ac:dyDescent="0.25">
      <c r="A33" s="19"/>
      <c r="B33">
        <v>2015</v>
      </c>
      <c r="C33">
        <v>91.32</v>
      </c>
      <c r="D33">
        <v>418.61</v>
      </c>
      <c r="E33" s="6">
        <f t="shared" si="0"/>
        <v>21.81505458541363</v>
      </c>
    </row>
    <row r="34" spans="1:5" x14ac:dyDescent="0.25">
      <c r="A34" s="19"/>
      <c r="B34">
        <v>2016</v>
      </c>
      <c r="C34">
        <v>75.16</v>
      </c>
      <c r="D34">
        <v>315.25</v>
      </c>
      <c r="E34" s="6">
        <f t="shared" si="0"/>
        <v>23.841395717684378</v>
      </c>
    </row>
    <row r="35" spans="1:5" x14ac:dyDescent="0.25">
      <c r="A35" s="19"/>
      <c r="B35">
        <v>2017</v>
      </c>
      <c r="C35">
        <v>31.61</v>
      </c>
      <c r="D35">
        <v>196.9</v>
      </c>
      <c r="E35" s="6">
        <f t="shared" si="0"/>
        <v>16.053834433722702</v>
      </c>
    </row>
    <row r="36" spans="1:5" x14ac:dyDescent="0.25">
      <c r="A36" s="19"/>
      <c r="B36">
        <v>2018</v>
      </c>
      <c r="C36">
        <v>56.99</v>
      </c>
      <c r="D36">
        <v>305</v>
      </c>
      <c r="E36" s="6">
        <f t="shared" si="0"/>
        <v>18.685245901639345</v>
      </c>
    </row>
    <row r="37" spans="1:5" x14ac:dyDescent="0.25">
      <c r="E37" s="6"/>
    </row>
    <row r="38" spans="1:5" x14ac:dyDescent="0.25">
      <c r="A38" s="19" t="s">
        <v>13</v>
      </c>
      <c r="B38">
        <v>2013</v>
      </c>
      <c r="C38">
        <v>461.97</v>
      </c>
      <c r="D38">
        <v>822</v>
      </c>
      <c r="E38" s="6">
        <f t="shared" si="0"/>
        <v>56.200729927007295</v>
      </c>
    </row>
    <row r="39" spans="1:5" x14ac:dyDescent="0.25">
      <c r="A39" s="19"/>
      <c r="B39">
        <v>2014</v>
      </c>
      <c r="C39">
        <v>324.57</v>
      </c>
      <c r="D39">
        <v>856</v>
      </c>
      <c r="E39" s="6">
        <f t="shared" si="0"/>
        <v>37.91705607476635</v>
      </c>
    </row>
    <row r="40" spans="1:5" x14ac:dyDescent="0.25">
      <c r="A40" s="19"/>
      <c r="B40">
        <v>2015</v>
      </c>
      <c r="C40">
        <v>289.73</v>
      </c>
      <c r="D40">
        <v>941</v>
      </c>
      <c r="E40" s="6">
        <f t="shared" si="0"/>
        <v>30.789585547290123</v>
      </c>
    </row>
    <row r="41" spans="1:5" x14ac:dyDescent="0.25">
      <c r="A41" s="19"/>
      <c r="B41">
        <v>2016</v>
      </c>
      <c r="C41">
        <v>285.5</v>
      </c>
      <c r="D41">
        <v>952</v>
      </c>
      <c r="E41" s="6">
        <f t="shared" si="0"/>
        <v>29.989495798319325</v>
      </c>
    </row>
    <row r="42" spans="1:5" x14ac:dyDescent="0.25">
      <c r="A42" s="19"/>
      <c r="B42">
        <v>2017</v>
      </c>
      <c r="C42">
        <v>318.52</v>
      </c>
      <c r="D42">
        <v>425</v>
      </c>
      <c r="E42" s="6">
        <f t="shared" si="0"/>
        <v>74.945882352941169</v>
      </c>
    </row>
    <row r="43" spans="1:5" x14ac:dyDescent="0.25">
      <c r="A43" s="19"/>
      <c r="B43">
        <v>2018</v>
      </c>
      <c r="C43">
        <v>339.63</v>
      </c>
      <c r="D43">
        <v>477</v>
      </c>
      <c r="E43" s="6">
        <f t="shared" si="0"/>
        <v>71.201257861635213</v>
      </c>
    </row>
    <row r="44" spans="1:5" x14ac:dyDescent="0.25">
      <c r="E44" s="6"/>
    </row>
    <row r="45" spans="1:5" x14ac:dyDescent="0.25">
      <c r="A45" s="19" t="s">
        <v>19</v>
      </c>
      <c r="B45">
        <v>2013</v>
      </c>
      <c r="C45">
        <v>27.82</v>
      </c>
      <c r="D45">
        <v>92.84</v>
      </c>
      <c r="E45" s="6">
        <f t="shared" si="0"/>
        <v>29.96553209823352</v>
      </c>
    </row>
    <row r="46" spans="1:5" x14ac:dyDescent="0.25">
      <c r="A46" s="19"/>
      <c r="B46">
        <v>2014</v>
      </c>
      <c r="C46">
        <v>20.010000000000002</v>
      </c>
      <c r="D46">
        <v>104.21</v>
      </c>
      <c r="E46" s="6">
        <f t="shared" si="0"/>
        <v>19.201612129354192</v>
      </c>
    </row>
    <row r="47" spans="1:5" x14ac:dyDescent="0.25">
      <c r="A47" s="19"/>
      <c r="B47">
        <v>2015</v>
      </c>
      <c r="C47">
        <v>20.350000000000001</v>
      </c>
      <c r="D47">
        <v>103.31</v>
      </c>
      <c r="E47" s="6">
        <f t="shared" si="0"/>
        <v>19.697996321750075</v>
      </c>
    </row>
    <row r="48" spans="1:5" x14ac:dyDescent="0.25">
      <c r="A48" s="19"/>
      <c r="B48">
        <v>2016</v>
      </c>
      <c r="C48">
        <v>33.86</v>
      </c>
      <c r="D48">
        <v>162.21</v>
      </c>
      <c r="E48" s="6">
        <f t="shared" si="0"/>
        <v>20.874175451575116</v>
      </c>
    </row>
    <row r="49" spans="1:5" x14ac:dyDescent="0.25">
      <c r="A49" s="19"/>
      <c r="B49">
        <v>2017</v>
      </c>
      <c r="C49">
        <v>26.82</v>
      </c>
      <c r="D49">
        <v>134.1</v>
      </c>
      <c r="E49" s="6">
        <f t="shared" si="0"/>
        <v>20</v>
      </c>
    </row>
    <row r="50" spans="1:5" x14ac:dyDescent="0.25">
      <c r="A50" s="19"/>
      <c r="B50">
        <v>2018</v>
      </c>
      <c r="C50">
        <v>38.6</v>
      </c>
      <c r="D50">
        <v>193.02</v>
      </c>
      <c r="E50" s="6">
        <f t="shared" si="0"/>
        <v>19.997927675888509</v>
      </c>
    </row>
    <row r="51" spans="1:5" x14ac:dyDescent="0.25">
      <c r="E51" s="6"/>
    </row>
    <row r="52" spans="1:5" x14ac:dyDescent="0.25">
      <c r="A52" s="19" t="s">
        <v>20</v>
      </c>
      <c r="B52">
        <v>2013</v>
      </c>
      <c r="C52">
        <v>2.12</v>
      </c>
      <c r="D52">
        <v>38.200000000000003</v>
      </c>
      <c r="E52" s="6">
        <f t="shared" si="0"/>
        <v>5.5497382198952883</v>
      </c>
    </row>
    <row r="53" spans="1:5" x14ac:dyDescent="0.25">
      <c r="A53" s="19"/>
      <c r="B53">
        <v>2014</v>
      </c>
      <c r="C53">
        <v>11.5</v>
      </c>
      <c r="D53">
        <v>51.9</v>
      </c>
      <c r="E53" s="6">
        <f t="shared" si="0"/>
        <v>22.157996146435455</v>
      </c>
    </row>
    <row r="54" spans="1:5" x14ac:dyDescent="0.25">
      <c r="A54" s="19"/>
      <c r="B54">
        <v>2015</v>
      </c>
      <c r="C54">
        <v>15.44</v>
      </c>
      <c r="D54">
        <v>90.19</v>
      </c>
      <c r="E54" s="6">
        <f t="shared" si="0"/>
        <v>17.119414569242711</v>
      </c>
    </row>
    <row r="55" spans="1:5" x14ac:dyDescent="0.25">
      <c r="A55" s="19"/>
      <c r="B55">
        <v>2016</v>
      </c>
      <c r="C55">
        <v>37.869999999999997</v>
      </c>
      <c r="D55">
        <v>147.47999999999999</v>
      </c>
      <c r="E55" s="6">
        <f t="shared" si="0"/>
        <v>25.678058041768377</v>
      </c>
    </row>
    <row r="56" spans="1:5" x14ac:dyDescent="0.25">
      <c r="A56" s="19"/>
      <c r="B56">
        <v>2017</v>
      </c>
      <c r="C56">
        <v>57.19</v>
      </c>
      <c r="D56">
        <v>284.14</v>
      </c>
      <c r="E56" s="6">
        <f t="shared" si="0"/>
        <v>20.127401984937002</v>
      </c>
    </row>
    <row r="57" spans="1:5" x14ac:dyDescent="0.25">
      <c r="A57" s="19"/>
      <c r="B57">
        <v>2018</v>
      </c>
      <c r="C57">
        <v>72.989999999999995</v>
      </c>
      <c r="D57">
        <v>291.95</v>
      </c>
      <c r="E57" s="6">
        <f t="shared" si="0"/>
        <v>25.000856311012161</v>
      </c>
    </row>
  </sheetData>
  <mergeCells count="8">
    <mergeCell ref="A38:A43"/>
    <mergeCell ref="A45:A50"/>
    <mergeCell ref="A52:A57"/>
    <mergeCell ref="A3:A8"/>
    <mergeCell ref="A10:A15"/>
    <mergeCell ref="A17:A22"/>
    <mergeCell ref="A24:A29"/>
    <mergeCell ref="A31:A3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1143-7573-43C3-8225-77A0A4C332A4}">
  <dimension ref="A1:H13"/>
  <sheetViews>
    <sheetView workbookViewId="0">
      <selection activeCell="A2" sqref="A2:H13"/>
    </sheetView>
  </sheetViews>
  <sheetFormatPr defaultRowHeight="15" x14ac:dyDescent="0.25"/>
  <cols>
    <col min="1" max="1" width="13.5703125" customWidth="1"/>
    <col min="8" max="8" width="15.42578125" customWidth="1"/>
  </cols>
  <sheetData>
    <row r="1" spans="1:8" ht="15.75" thickBot="1" x14ac:dyDescent="0.3"/>
    <row r="2" spans="1:8" ht="16.5" thickBot="1" x14ac:dyDescent="0.3">
      <c r="A2" s="24" t="s">
        <v>0</v>
      </c>
      <c r="B2" s="28" t="s">
        <v>37</v>
      </c>
      <c r="C2" s="27"/>
      <c r="D2" s="27"/>
      <c r="E2" s="27"/>
      <c r="F2" s="27"/>
      <c r="G2" s="29"/>
      <c r="H2" s="30" t="s">
        <v>38</v>
      </c>
    </row>
    <row r="3" spans="1:8" ht="16.5" thickBot="1" x14ac:dyDescent="0.3">
      <c r="A3" s="25"/>
      <c r="B3" s="33" t="s">
        <v>39</v>
      </c>
      <c r="C3" s="34"/>
      <c r="D3" s="34"/>
      <c r="E3" s="34"/>
      <c r="F3" s="34"/>
      <c r="G3" s="35"/>
      <c r="H3" s="31"/>
    </row>
    <row r="4" spans="1:8" ht="16.5" thickBot="1" x14ac:dyDescent="0.3">
      <c r="A4" s="26"/>
      <c r="B4" s="20">
        <v>2013</v>
      </c>
      <c r="C4" s="20">
        <v>2014</v>
      </c>
      <c r="D4" s="20">
        <v>2015</v>
      </c>
      <c r="E4" s="20">
        <v>2016</v>
      </c>
      <c r="F4" s="20">
        <v>2017</v>
      </c>
      <c r="G4" s="20">
        <v>2018</v>
      </c>
      <c r="H4" s="32"/>
    </row>
    <row r="5" spans="1:8" ht="16.5" thickBot="1" x14ac:dyDescent="0.3">
      <c r="A5" s="21" t="s">
        <v>3</v>
      </c>
      <c r="B5" s="20">
        <v>0.3</v>
      </c>
      <c r="C5" s="20">
        <v>0.25</v>
      </c>
      <c r="D5" s="20">
        <v>0.25</v>
      </c>
      <c r="E5" s="20">
        <v>0.35</v>
      </c>
      <c r="F5" s="20">
        <v>0.35</v>
      </c>
      <c r="G5" s="20">
        <v>0.25</v>
      </c>
      <c r="H5" s="22">
        <v>0.28999999999999998</v>
      </c>
    </row>
    <row r="6" spans="1:8" ht="16.5" thickBot="1" x14ac:dyDescent="0.3">
      <c r="A6" s="21" t="s">
        <v>4</v>
      </c>
      <c r="B6" s="20">
        <v>0.3</v>
      </c>
      <c r="C6" s="20">
        <v>0.3</v>
      </c>
      <c r="D6" s="20">
        <v>0.3</v>
      </c>
      <c r="E6" s="20">
        <v>0.4</v>
      </c>
      <c r="F6" s="20">
        <v>0.45</v>
      </c>
      <c r="G6" s="20">
        <v>0.5</v>
      </c>
      <c r="H6" s="22">
        <v>0.38</v>
      </c>
    </row>
    <row r="7" spans="1:8" ht="16.5" thickBot="1" x14ac:dyDescent="0.3">
      <c r="A7" s="21" t="s">
        <v>5</v>
      </c>
      <c r="B7" s="20">
        <v>0.3</v>
      </c>
      <c r="C7" s="20">
        <v>0.19</v>
      </c>
      <c r="D7" s="20">
        <v>0.2</v>
      </c>
      <c r="E7" s="20">
        <v>0.2</v>
      </c>
      <c r="F7" s="20">
        <v>0.2</v>
      </c>
      <c r="G7" s="20">
        <v>0.2</v>
      </c>
      <c r="H7" s="22">
        <v>0.22</v>
      </c>
    </row>
    <row r="8" spans="1:8" ht="16.5" thickBot="1" x14ac:dyDescent="0.3">
      <c r="A8" s="21" t="s">
        <v>6</v>
      </c>
      <c r="B8" s="20">
        <v>0.3</v>
      </c>
      <c r="C8" s="20">
        <v>0.25</v>
      </c>
      <c r="D8" s="20">
        <v>0.3</v>
      </c>
      <c r="E8" s="20">
        <v>0.45</v>
      </c>
      <c r="F8" s="20">
        <v>0.45</v>
      </c>
      <c r="G8" s="20">
        <v>0.45</v>
      </c>
      <c r="H8" s="22">
        <v>0.37</v>
      </c>
    </row>
    <row r="9" spans="1:8" ht="16.5" thickBot="1" x14ac:dyDescent="0.3">
      <c r="A9" s="21" t="s">
        <v>12</v>
      </c>
      <c r="B9" s="20">
        <v>0.52</v>
      </c>
      <c r="C9" s="20">
        <v>0.41</v>
      </c>
      <c r="D9" s="20">
        <v>0.41</v>
      </c>
      <c r="E9" s="20">
        <v>0.45</v>
      </c>
      <c r="F9" s="20">
        <v>0.39</v>
      </c>
      <c r="G9" s="20">
        <v>0.2</v>
      </c>
      <c r="H9" s="22">
        <v>0.4</v>
      </c>
    </row>
    <row r="10" spans="1:8" ht="16.5" thickBot="1" x14ac:dyDescent="0.3">
      <c r="A10" s="21" t="s">
        <v>13</v>
      </c>
      <c r="B10" s="20">
        <v>0.55000000000000004</v>
      </c>
      <c r="C10" s="20">
        <v>0.35</v>
      </c>
      <c r="D10" s="20">
        <v>0.3</v>
      </c>
      <c r="E10" s="20">
        <v>0.3</v>
      </c>
      <c r="F10" s="20">
        <v>0.75</v>
      </c>
      <c r="G10" s="20">
        <v>0.75</v>
      </c>
      <c r="H10" s="22">
        <v>0.5</v>
      </c>
    </row>
    <row r="11" spans="1:8" ht="16.5" thickBot="1" x14ac:dyDescent="0.3">
      <c r="A11" s="21" t="s">
        <v>19</v>
      </c>
      <c r="B11" s="20">
        <v>0.3</v>
      </c>
      <c r="C11" s="20">
        <v>0.16</v>
      </c>
      <c r="D11" s="20">
        <v>0.18</v>
      </c>
      <c r="E11" s="20">
        <v>0.26</v>
      </c>
      <c r="F11" s="20">
        <v>0.18</v>
      </c>
      <c r="G11" s="20">
        <v>0.2</v>
      </c>
      <c r="H11" s="22">
        <v>0.21</v>
      </c>
    </row>
    <row r="12" spans="1:8" ht="16.5" thickBot="1" x14ac:dyDescent="0.3">
      <c r="A12" s="21" t="s">
        <v>20</v>
      </c>
      <c r="B12" s="20">
        <v>0.3</v>
      </c>
      <c r="C12" s="20">
        <v>0.3</v>
      </c>
      <c r="D12" s="20">
        <v>0.17</v>
      </c>
      <c r="E12" s="20">
        <v>0.3</v>
      </c>
      <c r="F12" s="20">
        <v>0.2</v>
      </c>
      <c r="G12" s="20">
        <v>0.25</v>
      </c>
      <c r="H12" s="22">
        <v>0.25</v>
      </c>
    </row>
    <row r="13" spans="1:8" ht="16.5" thickBot="1" x14ac:dyDescent="0.3">
      <c r="A13" s="21" t="s">
        <v>38</v>
      </c>
      <c r="B13" s="23">
        <v>0.36</v>
      </c>
      <c r="C13" s="23">
        <v>0.28000000000000003</v>
      </c>
      <c r="D13" s="23">
        <v>0.26</v>
      </c>
      <c r="E13" s="23">
        <v>0.34</v>
      </c>
      <c r="F13" s="23">
        <v>0.37</v>
      </c>
      <c r="G13" s="23">
        <v>0.35</v>
      </c>
      <c r="H13" s="22">
        <v>0.33</v>
      </c>
    </row>
  </sheetData>
  <mergeCells count="4">
    <mergeCell ref="A2:A4"/>
    <mergeCell ref="B2:G2"/>
    <mergeCell ref="H2:H4"/>
    <mergeCell ref="B3:G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DB7E-3B30-4039-85A3-D8CF4C341182}">
  <dimension ref="A1:H13"/>
  <sheetViews>
    <sheetView tabSelected="1" workbookViewId="0">
      <selection activeCell="A2" sqref="A2:H13"/>
    </sheetView>
  </sheetViews>
  <sheetFormatPr defaultRowHeight="15" x14ac:dyDescent="0.25"/>
  <cols>
    <col min="1" max="1" width="13.85546875" customWidth="1"/>
    <col min="8" max="8" width="14" customWidth="1"/>
  </cols>
  <sheetData>
    <row r="1" spans="1:8" ht="15.75" thickBot="1" x14ac:dyDescent="0.3"/>
    <row r="2" spans="1:8" ht="16.5" thickBot="1" x14ac:dyDescent="0.3">
      <c r="A2" s="24" t="s">
        <v>0</v>
      </c>
      <c r="B2" s="33" t="s">
        <v>40</v>
      </c>
      <c r="C2" s="34"/>
      <c r="D2" s="34"/>
      <c r="E2" s="34"/>
      <c r="F2" s="34"/>
      <c r="G2" s="35"/>
      <c r="H2" s="30" t="s">
        <v>38</v>
      </c>
    </row>
    <row r="3" spans="1:8" ht="16.5" thickBot="1" x14ac:dyDescent="0.3">
      <c r="A3" s="25"/>
      <c r="B3" s="33" t="s">
        <v>39</v>
      </c>
      <c r="C3" s="34"/>
      <c r="D3" s="34"/>
      <c r="E3" s="34"/>
      <c r="F3" s="34"/>
      <c r="G3" s="35"/>
      <c r="H3" s="31"/>
    </row>
    <row r="4" spans="1:8" ht="16.5" thickBot="1" x14ac:dyDescent="0.3">
      <c r="A4" s="26"/>
      <c r="B4" s="20">
        <v>2013</v>
      </c>
      <c r="C4" s="20">
        <v>2014</v>
      </c>
      <c r="D4" s="20">
        <v>2015</v>
      </c>
      <c r="E4" s="20">
        <v>2016</v>
      </c>
      <c r="F4" s="20">
        <v>2017</v>
      </c>
      <c r="G4" s="20">
        <v>2018</v>
      </c>
      <c r="H4" s="32"/>
    </row>
    <row r="5" spans="1:8" ht="16.5" thickBot="1" x14ac:dyDescent="0.3">
      <c r="A5" s="21" t="s">
        <v>3</v>
      </c>
      <c r="B5" s="20">
        <v>0.56999999999999995</v>
      </c>
      <c r="C5" s="20">
        <v>0.61</v>
      </c>
      <c r="D5" s="20">
        <v>0.56000000000000005</v>
      </c>
      <c r="E5" s="20">
        <v>0.55000000000000004</v>
      </c>
      <c r="F5" s="20">
        <v>0.6</v>
      </c>
      <c r="G5" s="20">
        <v>0.56999999999999995</v>
      </c>
      <c r="H5" s="22">
        <v>0.57999999999999996</v>
      </c>
    </row>
    <row r="6" spans="1:8" ht="16.5" thickBot="1" x14ac:dyDescent="0.3">
      <c r="A6" s="21" t="s">
        <v>4</v>
      </c>
      <c r="B6" s="20">
        <v>0.62</v>
      </c>
      <c r="C6" s="20">
        <v>0.66</v>
      </c>
      <c r="D6" s="20">
        <v>0.5</v>
      </c>
      <c r="E6" s="20">
        <v>0.62</v>
      </c>
      <c r="F6" s="20">
        <v>0.67</v>
      </c>
      <c r="G6" s="20">
        <v>0.65</v>
      </c>
      <c r="H6" s="22">
        <v>0.62</v>
      </c>
    </row>
    <row r="7" spans="1:8" ht="16.5" thickBot="1" x14ac:dyDescent="0.3">
      <c r="A7" s="21" t="s">
        <v>5</v>
      </c>
      <c r="B7" s="20">
        <v>0.51</v>
      </c>
      <c r="C7" s="20">
        <v>0.53</v>
      </c>
      <c r="D7" s="20">
        <v>0.52</v>
      </c>
      <c r="E7" s="20">
        <v>0.52</v>
      </c>
      <c r="F7" s="20">
        <v>0.54</v>
      </c>
      <c r="G7" s="20">
        <v>0.51</v>
      </c>
      <c r="H7" s="22">
        <v>0.52</v>
      </c>
    </row>
    <row r="8" spans="1:8" ht="16.5" thickBot="1" x14ac:dyDescent="0.3">
      <c r="A8" s="21" t="s">
        <v>6</v>
      </c>
      <c r="B8" s="20">
        <v>0.59</v>
      </c>
      <c r="C8" s="20">
        <v>0.6</v>
      </c>
      <c r="D8" s="20">
        <v>0.51</v>
      </c>
      <c r="E8" s="20">
        <v>0.52</v>
      </c>
      <c r="F8" s="20">
        <v>0.63</v>
      </c>
      <c r="G8" s="20">
        <v>0.6</v>
      </c>
      <c r="H8" s="22">
        <v>0.56999999999999995</v>
      </c>
    </row>
    <row r="9" spans="1:8" ht="16.5" thickBot="1" x14ac:dyDescent="0.3">
      <c r="A9" s="21" t="s">
        <v>12</v>
      </c>
      <c r="B9" s="20">
        <v>1.49</v>
      </c>
      <c r="C9" s="20">
        <v>1.47</v>
      </c>
      <c r="D9" s="20">
        <v>0.79</v>
      </c>
      <c r="E9" s="20">
        <v>0.76</v>
      </c>
      <c r="F9" s="20">
        <v>0.63</v>
      </c>
      <c r="G9" s="20">
        <v>0.64</v>
      </c>
      <c r="H9" s="22">
        <v>0.97</v>
      </c>
    </row>
    <row r="10" spans="1:8" ht="16.5" thickBot="1" x14ac:dyDescent="0.3">
      <c r="A10" s="21" t="s">
        <v>13</v>
      </c>
      <c r="B10" s="20">
        <v>1.69</v>
      </c>
      <c r="C10" s="20">
        <v>1.59</v>
      </c>
      <c r="D10" s="20">
        <v>0.39</v>
      </c>
      <c r="E10" s="20">
        <v>0.52</v>
      </c>
      <c r="F10" s="20">
        <v>1.1299999999999999</v>
      </c>
      <c r="G10" s="20">
        <v>1.66</v>
      </c>
      <c r="H10" s="22">
        <v>1.1599999999999999</v>
      </c>
    </row>
    <row r="11" spans="1:8" ht="16.5" thickBot="1" x14ac:dyDescent="0.3">
      <c r="A11" s="21" t="s">
        <v>19</v>
      </c>
      <c r="B11" s="20">
        <v>0.87</v>
      </c>
      <c r="C11" s="20">
        <v>1.25</v>
      </c>
      <c r="D11" s="20">
        <v>0.9</v>
      </c>
      <c r="E11" s="20">
        <v>0.66</v>
      </c>
      <c r="F11" s="20">
        <v>0.59</v>
      </c>
      <c r="G11" s="20">
        <v>0.51</v>
      </c>
      <c r="H11" s="22">
        <v>0.8</v>
      </c>
    </row>
    <row r="12" spans="1:8" ht="16.5" thickBot="1" x14ac:dyDescent="0.3">
      <c r="A12" s="21" t="s">
        <v>20</v>
      </c>
      <c r="B12" s="20">
        <v>0.68</v>
      </c>
      <c r="C12" s="20">
        <v>1.08</v>
      </c>
      <c r="D12" s="20">
        <v>0.85</v>
      </c>
      <c r="E12" s="20">
        <v>0.75</v>
      </c>
      <c r="F12" s="20">
        <v>0.61</v>
      </c>
      <c r="G12" s="20">
        <v>0.54</v>
      </c>
      <c r="H12" s="22">
        <v>0.75</v>
      </c>
    </row>
    <row r="13" spans="1:8" ht="16.5" thickBot="1" x14ac:dyDescent="0.3">
      <c r="A13" s="21" t="s">
        <v>38</v>
      </c>
      <c r="B13" s="20">
        <v>0.88</v>
      </c>
      <c r="C13" s="20">
        <v>0.97</v>
      </c>
      <c r="D13" s="20">
        <v>0.63</v>
      </c>
      <c r="E13" s="20">
        <v>0.61</v>
      </c>
      <c r="F13" s="20">
        <v>0.67</v>
      </c>
      <c r="G13" s="20">
        <v>0.71</v>
      </c>
      <c r="H13" s="22">
        <v>0.75</v>
      </c>
    </row>
  </sheetData>
  <mergeCells count="4">
    <mergeCell ref="A2:A4"/>
    <mergeCell ref="B2:G2"/>
    <mergeCell ref="H2:H4"/>
    <mergeCell ref="B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Tobin's Q</vt:lpstr>
      <vt:lpstr>DPR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2020-05-07T12:47:15Z</dcterms:modified>
</cp:coreProperties>
</file>